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7668" activeTab="0"/>
  </bookViews>
  <sheets>
    <sheet name="Sheet1" sheetId="1" r:id="rId1"/>
  </sheets>
  <definedNames/>
  <calcPr fullCalcOnLoad="1"/>
</workbook>
</file>

<file path=xl/sharedStrings.xml><?xml version="1.0" encoding="utf-8"?>
<sst xmlns="http://schemas.openxmlformats.org/spreadsheetml/2006/main" count="305" uniqueCount="248">
  <si>
    <t>中古マンション購入用概算データ算出表</t>
  </si>
  <si>
    <t>専有面積</t>
  </si>
  <si>
    <t>㎡</t>
  </si>
  <si>
    <t>販売価格</t>
  </si>
  <si>
    <t>万円</t>
  </si>
  <si>
    <t>物件購入費用</t>
  </si>
  <si>
    <t>仲介手数料</t>
  </si>
  <si>
    <t>登録免許税(建物)</t>
  </si>
  <si>
    <t>登録免許税(土地)</t>
  </si>
  <si>
    <t>司法書士への報酬</t>
  </si>
  <si>
    <t>不動産取得税（建物）</t>
  </si>
  <si>
    <t>不動産取得税（土地）</t>
  </si>
  <si>
    <t>現居の家賃</t>
  </si>
  <si>
    <t>万円</t>
  </si>
  <si>
    <t>火災保険料と地震保険</t>
  </si>
  <si>
    <t>印紙代</t>
  </si>
  <si>
    <t>費用科目(基本必要)</t>
  </si>
  <si>
    <t>費用科目(ローン使用時)</t>
  </si>
  <si>
    <t>金額</t>
  </si>
  <si>
    <t>合計</t>
  </si>
  <si>
    <t>事務手数料</t>
  </si>
  <si>
    <t>印紙代</t>
  </si>
  <si>
    <t>借入年数</t>
  </si>
  <si>
    <t>抵当権設定費用</t>
  </si>
  <si>
    <t>借入金額</t>
  </si>
  <si>
    <t>ローン利用</t>
  </si>
  <si>
    <t>万円</t>
  </si>
  <si>
    <t>年</t>
  </si>
  <si>
    <t>フラット利用</t>
  </si>
  <si>
    <t>費用科目</t>
  </si>
  <si>
    <t>ローン返済</t>
  </si>
  <si>
    <t>修繕積立費用</t>
  </si>
  <si>
    <t>管理費</t>
  </si>
  <si>
    <t>駐車場代</t>
  </si>
  <si>
    <t>特殊費用Ａ</t>
  </si>
  <si>
    <t>特殊費用Ｂ</t>
  </si>
  <si>
    <t>特殊費用Ｃ</t>
  </si>
  <si>
    <t>固定資産税(建物)</t>
  </si>
  <si>
    <t>都市計画税(建物)</t>
  </si>
  <si>
    <t>固定資産税(土地)</t>
  </si>
  <si>
    <t>都市計画税(土地)</t>
  </si>
  <si>
    <t>ローン保証料</t>
  </si>
  <si>
    <t>団体信用生命保険</t>
  </si>
  <si>
    <t>円</t>
  </si>
  <si>
    <t>借入金利</t>
  </si>
  <si>
    <t>建物評価額</t>
  </si>
  <si>
    <t>土地評価額</t>
  </si>
  <si>
    <t>ローン保証料金利組込み</t>
  </si>
  <si>
    <t>％</t>
  </si>
  <si>
    <t>購入時に必要な費用</t>
  </si>
  <si>
    <t>月々のトータル支払額</t>
  </si>
  <si>
    <t>ローンを利用する場合に必要な費用</t>
  </si>
  <si>
    <t>万円</t>
  </si>
  <si>
    <t>総費用</t>
  </si>
  <si>
    <t>引っ越し＋賃貸退去費用</t>
  </si>
  <si>
    <t>リフォーム＋家具購入</t>
  </si>
  <si>
    <t>入力必須項目</t>
  </si>
  <si>
    <t>任意で入力変更項目</t>
  </si>
  <si>
    <t>色別項目説明</t>
  </si>
  <si>
    <t>住宅ローン減税について</t>
  </si>
  <si>
    <t>所得税＋住民税(年間)</t>
  </si>
  <si>
    <t>注意点</t>
  </si>
  <si>
    <t>赤枠の税率関係の計算については、優遇税率の為の控除条件も組み込んで算出するようになっています。</t>
  </si>
  <si>
    <t>販売価格</t>
  </si>
  <si>
    <t>築年数</t>
  </si>
  <si>
    <t>専有面積</t>
  </si>
  <si>
    <t>壁芯面積or専有面積を直接入力</t>
  </si>
  <si>
    <t>借入金額</t>
  </si>
  <si>
    <t>ローンの利用が有か無か選択</t>
  </si>
  <si>
    <t>借り入れの希望年数を選択</t>
  </si>
  <si>
    <t>借入年数</t>
  </si>
  <si>
    <t>ローンの希望借入額を入力</t>
  </si>
  <si>
    <t>耐震基準適合証明書</t>
  </si>
  <si>
    <t>耐震基準適合証明書(取得時)</t>
  </si>
  <si>
    <t>もし、手数料の割引等ございましたら、変更入力。基本はマックスで手数料は発生します。</t>
  </si>
  <si>
    <t>これは建物とローン共に大体の金額です。細かい金額が分かれば変更入力して下さい。</t>
  </si>
  <si>
    <t>火災保険と地震保険</t>
  </si>
  <si>
    <t>修繕積立費用・管理費用</t>
  </si>
  <si>
    <t>特殊費用</t>
  </si>
  <si>
    <t>自由に入力して下さい。光熱費やオートロック整備費用、自治会費用など</t>
  </si>
  <si>
    <t>フラット利用３５物件検査費用</t>
  </si>
  <si>
    <t>フラット３５の利用有なら目安費用が発生するようになっています。必要なければ変更入力</t>
  </si>
  <si>
    <t>内、諸費用合計</t>
  </si>
  <si>
    <t>必要現金合計</t>
  </si>
  <si>
    <t>購入時に必要な費用</t>
  </si>
  <si>
    <t>ローンを利用する場合に必要な費用</t>
  </si>
  <si>
    <t>基本データ入力</t>
  </si>
  <si>
    <t>年数早見表</t>
  </si>
  <si>
    <t>1980年</t>
  </si>
  <si>
    <t>1981年</t>
  </si>
  <si>
    <t>1982年</t>
  </si>
  <si>
    <t>1983年</t>
  </si>
  <si>
    <t>1984年</t>
  </si>
  <si>
    <t>1985年</t>
  </si>
  <si>
    <t>1986年</t>
  </si>
  <si>
    <t>1987年</t>
  </si>
  <si>
    <t>1988年</t>
  </si>
  <si>
    <t>1989年</t>
  </si>
  <si>
    <t>1990年</t>
  </si>
  <si>
    <t>1991年</t>
  </si>
  <si>
    <t>1992年</t>
  </si>
  <si>
    <t>1993年</t>
  </si>
  <si>
    <t>1994年</t>
  </si>
  <si>
    <t>1995年</t>
  </si>
  <si>
    <t>1996年</t>
  </si>
  <si>
    <t>1997年</t>
  </si>
  <si>
    <t>1998年</t>
  </si>
  <si>
    <t>1999年</t>
  </si>
  <si>
    <t>2000年</t>
  </si>
  <si>
    <t>2001年</t>
  </si>
  <si>
    <t>2002年</t>
  </si>
  <si>
    <t>2003年</t>
  </si>
  <si>
    <t>2004年</t>
  </si>
  <si>
    <t>2005年</t>
  </si>
  <si>
    <t>2006年</t>
  </si>
  <si>
    <t>2007年</t>
  </si>
  <si>
    <t>2008年</t>
  </si>
  <si>
    <t>2009年</t>
  </si>
  <si>
    <t>2010年</t>
  </si>
  <si>
    <t>2011年</t>
  </si>
  <si>
    <t>2012年</t>
  </si>
  <si>
    <t>2013年</t>
  </si>
  <si>
    <t>2014年</t>
  </si>
  <si>
    <t>昭和55年</t>
  </si>
  <si>
    <t>昭和56年</t>
  </si>
  <si>
    <t>昭和57年</t>
  </si>
  <si>
    <t>昭和58年</t>
  </si>
  <si>
    <t>昭和59年</t>
  </si>
  <si>
    <t>昭和60年</t>
  </si>
  <si>
    <t>昭和61年</t>
  </si>
  <si>
    <t>昭和62年</t>
  </si>
  <si>
    <t>昭和63年</t>
  </si>
  <si>
    <t>平成 ２年</t>
  </si>
  <si>
    <t>平成 ３年</t>
  </si>
  <si>
    <t>平成 ４年</t>
  </si>
  <si>
    <t>平成 ５年</t>
  </si>
  <si>
    <t>平成 ６年</t>
  </si>
  <si>
    <t>平成 ７年</t>
  </si>
  <si>
    <t>平成 ８年</t>
  </si>
  <si>
    <t>平成 ９年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</si>
  <si>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</si>
  <si>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</si>
  <si>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</si>
  <si>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</si>
  <si>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</si>
  <si>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</si>
  <si>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</si>
  <si>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</si>
  <si>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</si>
  <si>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</si>
  <si>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</si>
  <si>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</si>
  <si>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</si>
  <si>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</si>
  <si>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平成24年</t>
  </si>
  <si>
    <t>平成25年</t>
  </si>
  <si>
    <t>平成26年</t>
  </si>
  <si>
    <t>物件価格を直接入力.</t>
  </si>
  <si>
    <t>1980年以前は全て1980年を選択</t>
  </si>
  <si>
    <t>築25年以上のマンションであれば取得するまでに書類の有無で税金が変わります。基本はありません。</t>
  </si>
  <si>
    <t>築１年</t>
  </si>
  <si>
    <t>築３２年</t>
  </si>
  <si>
    <t>築３１年</t>
  </si>
  <si>
    <t>築３０年</t>
  </si>
  <si>
    <t>築２９年</t>
  </si>
  <si>
    <t>築２８年</t>
  </si>
  <si>
    <t>築２７年</t>
  </si>
  <si>
    <t>築２６年</t>
  </si>
  <si>
    <t>築２５年</t>
  </si>
  <si>
    <t>築２４年</t>
  </si>
  <si>
    <t>築２３年</t>
  </si>
  <si>
    <t>築２２年</t>
  </si>
  <si>
    <t>築２１年</t>
  </si>
  <si>
    <t>築２０年</t>
  </si>
  <si>
    <t>築１９年</t>
  </si>
  <si>
    <t>築１８年</t>
  </si>
  <si>
    <t>築１７年</t>
  </si>
  <si>
    <t>築１６年</t>
  </si>
  <si>
    <t>築１５年</t>
  </si>
  <si>
    <t>築１４年</t>
  </si>
  <si>
    <t>築１３年</t>
  </si>
  <si>
    <t>築１２年</t>
  </si>
  <si>
    <t>築１１年</t>
  </si>
  <si>
    <t>築１０年</t>
  </si>
  <si>
    <t>築９年</t>
  </si>
  <si>
    <t>築８年</t>
  </si>
  <si>
    <t>築７年</t>
  </si>
  <si>
    <t>築６年</t>
  </si>
  <si>
    <t>築５年</t>
  </si>
  <si>
    <t>築４年</t>
  </si>
  <si>
    <t>築３年</t>
  </si>
  <si>
    <t>築２年</t>
  </si>
  <si>
    <t>築０年</t>
  </si>
  <si>
    <t>築３４年</t>
  </si>
  <si>
    <t>築３３年</t>
  </si>
  <si>
    <t>西暦</t>
  </si>
  <si>
    <t>和暦</t>
  </si>
  <si>
    <t>築年数</t>
  </si>
  <si>
    <t>平成 １年</t>
  </si>
  <si>
    <t>フラット３５物件検査費用</t>
  </si>
  <si>
    <t>販売図面やネットに載っている金額を物件別に入力。金額単位に注意！！</t>
  </si>
  <si>
    <t>年間控除額(年間)</t>
  </si>
  <si>
    <t>築年数(年,月)</t>
  </si>
  <si>
    <t>購入予定日</t>
  </si>
  <si>
    <t>購入予定日(年月)</t>
  </si>
  <si>
    <t>清算金(建物)</t>
  </si>
  <si>
    <t>清算金(土地)</t>
  </si>
  <si>
    <t>万円</t>
  </si>
  <si>
    <t>借地権費用</t>
  </si>
  <si>
    <t>円</t>
  </si>
  <si>
    <t>借地権</t>
  </si>
  <si>
    <t>購入予定日(年月)を選択</t>
  </si>
  <si>
    <t>賃貸の場合、家賃を入力</t>
  </si>
  <si>
    <t>固定資産評価に関する書類の有無を選択</t>
  </si>
  <si>
    <t>固定資産公課証明書等</t>
  </si>
  <si>
    <t>固定資産公課証明等</t>
  </si>
  <si>
    <t>土地の固定資産評価額が分かれば変更入力。分からない場合は自動で概算を算出します。</t>
  </si>
  <si>
    <t>土地評価額(課税標準)</t>
  </si>
  <si>
    <t>建物評価額(課税標準)</t>
  </si>
  <si>
    <t>建物の固定資産評価額が分かれば変更入力。分からない場合は自動で概算を算出します。</t>
  </si>
  <si>
    <t>ローンに関する保証料を金利に組み込むか選択。フラット利用時は事務手数料が異なります</t>
  </si>
  <si>
    <t>フラット３５の利用の有無を選択</t>
  </si>
  <si>
    <t>借入金利</t>
  </si>
  <si>
    <t>金利は分かれば要入力変更。自動表記は変動金利かフラット３５での目安金利が算出されます</t>
  </si>
  <si>
    <t>借地権の有無を選択します。基本は無ですが、土地に関する固定資産税・都市計画税に影響します。</t>
  </si>
  <si>
    <t>住民税＋所得税(年間)</t>
  </si>
  <si>
    <t>年間の住民税と所得税の合計納税額を記入。他に控除がある場合は控除後の金額を入力。</t>
  </si>
  <si>
    <t>引っ越し費用２0万円＋家賃一か月分の退去費用で計算しています。条件次第で入力変更</t>
  </si>
  <si>
    <t>火災保険35年と地震保険5年を一括払いでの概算です。条件次第では大幅変更の可能性有</t>
  </si>
  <si>
    <t>あまりにもピンキリですので任意で入力して下さい。</t>
  </si>
  <si>
    <t>清算金</t>
  </si>
  <si>
    <t>借地権費用</t>
  </si>
  <si>
    <t>大体の相場金額です。借入先の条件とプランにより大幅な金額変更の可能性有</t>
  </si>
  <si>
    <t>ローン保証料</t>
  </si>
  <si>
    <t>建物と合計する場合の相場くらいで入力しています。</t>
  </si>
  <si>
    <r>
      <t>月々のトータル支払額</t>
    </r>
    <r>
      <rPr>
        <b/>
        <sz val="12"/>
        <color indexed="10"/>
        <rFont val="ＭＳ Ｐゴシック"/>
        <family val="3"/>
      </rPr>
      <t>（金額単位に注意！）</t>
    </r>
  </si>
  <si>
    <t>借地権がある場合に、土地のオーナーに支払う費用です。</t>
  </si>
  <si>
    <t>団体信用生命保険</t>
  </si>
  <si>
    <t>ローン専用の生命保険の費用です。条件によって費用は異なります</t>
  </si>
  <si>
    <r>
      <rPr>
        <b/>
        <sz val="11"/>
        <color indexed="8"/>
        <rFont val="ＭＳ Ｐゴシック"/>
        <family val="3"/>
      </rPr>
      <t>別名＝公租公課費用</t>
    </r>
    <r>
      <rPr>
        <sz val="11"/>
        <color theme="1"/>
        <rFont val="Calibri"/>
        <family val="3"/>
      </rPr>
      <t>。固定資産税と都市計画税の年間一括払いでの金額計算です</t>
    </r>
  </si>
  <si>
    <t>そして、無断でこのデータを転載や他人に譲渡する事は禁止とさせて頂いてますのでご了承くださいませ。</t>
  </si>
  <si>
    <t>あくまでも概算金額の算出ですので、必ずしも正確性はお約束できない事をご理解ください。</t>
  </si>
  <si>
    <t>基本入力変更禁止項目</t>
  </si>
  <si>
    <t>この概算金額は独自の経験を織り込んで、目安になる金額と計算式を入力しています。業者や銀行、物件所在地等で</t>
  </si>
  <si>
    <t>費用内容は異なる場合がございます。自分で修正できる箇所(特に青枠)は自分の条件で修正を行ってください。</t>
  </si>
  <si>
    <t>そして、修繕積立費用と管理費用の清算金は事情により費用項目に含めておりませんので、ご了承ください。</t>
  </si>
  <si>
    <t>有</t>
  </si>
  <si>
    <t>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</si>
</sst>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
    <numFmt numFmtId="180" formatCode="0.0"/>
    <numFmt numFmtId="181" formatCode="####&quot;年&quot;"/>
    <numFmt numFmtId="182" formatCode="#&quot;月&quot;"/>
  </numFmts>
  <fonts count="69">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color indexed="10"/>
      <name val="ＭＳ Ｐゴシック"/>
      <family val="3"/>
    </font>
    <font>
      <sz val="10"/>
      <color indexed="8"/>
      <name val="ＭＳ Ｐゴシック"/>
      <family val="3"/>
    </font>
    <font>
      <b/>
      <sz val="18"/>
      <color indexed="8"/>
      <name val="ＭＳ Ｐゴシック"/>
      <family val="3"/>
    </font>
    <font>
      <b/>
      <sz val="9"/>
      <color indexed="8"/>
      <name val="ＭＳ Ｐゴシック"/>
      <family val="3"/>
    </font>
    <font>
      <b/>
      <sz val="12"/>
      <color indexed="8"/>
      <name val="ＭＳ Ｐゴシック"/>
      <family val="3"/>
    </font>
    <font>
      <b/>
      <sz val="10"/>
      <color indexed="8"/>
      <name val="ＭＳ Ｐゴシック"/>
      <family val="3"/>
    </font>
    <font>
      <sz val="13"/>
      <color indexed="8"/>
      <name val="ＭＳ Ｐゴシック"/>
      <family val="3"/>
    </font>
    <font>
      <b/>
      <sz val="13"/>
      <color indexed="8"/>
      <name val="ＭＳ Ｐゴシック"/>
      <family val="3"/>
    </font>
    <font>
      <b/>
      <sz val="8"/>
      <color indexed="8"/>
      <name val="ＭＳ Ｐゴシック"/>
      <family val="3"/>
    </font>
    <font>
      <b/>
      <sz val="14"/>
      <color indexed="8"/>
      <name val="ＭＳ Ｐゴシック"/>
      <family val="3"/>
    </font>
    <font>
      <b/>
      <sz val="22"/>
      <color indexed="8"/>
      <name val="ＭＳ Ｐゴシック"/>
      <family val="3"/>
    </font>
    <font>
      <b/>
      <i/>
      <u val="single"/>
      <sz val="16"/>
      <color indexed="8"/>
      <name val="ＭＳ Ｐゴシック"/>
      <family val="3"/>
    </font>
    <font>
      <i/>
      <sz val="16"/>
      <color indexed="8"/>
      <name val="ＭＳ Ｐゴシック"/>
      <family val="3"/>
    </font>
    <font>
      <sz val="18"/>
      <color indexed="8"/>
      <name val="ＭＳ Ｐゴシック"/>
      <family val="3"/>
    </font>
    <font>
      <i/>
      <sz val="1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b/>
      <u val="single"/>
      <sz val="12"/>
      <color indexed="10"/>
      <name val="ＭＳ Ｐゴシック"/>
      <family val="3"/>
    </font>
    <font>
      <sz val="16"/>
      <color indexed="10"/>
      <name val="ＭＳ Ｐゴシック"/>
      <family val="3"/>
    </font>
    <font>
      <sz val="16"/>
      <color indexed="10"/>
      <name val="Calibri"/>
      <family val="2"/>
    </font>
    <font>
      <b/>
      <u val="single"/>
      <sz val="11"/>
      <color indexed="10"/>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18"/>
      <color theme="1"/>
      <name val="Calibri"/>
      <family val="3"/>
    </font>
    <font>
      <b/>
      <sz val="9"/>
      <color theme="1"/>
      <name val="Calibri"/>
      <family val="3"/>
    </font>
    <font>
      <b/>
      <sz val="12"/>
      <color theme="1"/>
      <name val="Calibri"/>
      <family val="3"/>
    </font>
    <font>
      <b/>
      <sz val="10"/>
      <color theme="1"/>
      <name val="Calibri"/>
      <family val="3"/>
    </font>
    <font>
      <sz val="13"/>
      <color theme="1"/>
      <name val="Calibri"/>
      <family val="3"/>
    </font>
    <font>
      <b/>
      <sz val="13"/>
      <color theme="1"/>
      <name val="Calibri"/>
      <family val="3"/>
    </font>
    <font>
      <i/>
      <sz val="16"/>
      <color theme="1"/>
      <name val="Calibri"/>
      <family val="3"/>
    </font>
    <font>
      <sz val="18"/>
      <color theme="1"/>
      <name val="Calibri"/>
      <family val="3"/>
    </font>
    <font>
      <i/>
      <sz val="18"/>
      <color theme="1"/>
      <name val="Calibri"/>
      <family val="3"/>
    </font>
    <font>
      <b/>
      <i/>
      <u val="single"/>
      <sz val="16"/>
      <color theme="1"/>
      <name val="Calibri"/>
      <family val="3"/>
    </font>
    <font>
      <b/>
      <sz val="14"/>
      <color theme="1"/>
      <name val="Calibri"/>
      <family val="3"/>
    </font>
    <font>
      <b/>
      <sz val="22"/>
      <color theme="1"/>
      <name val="Calibri"/>
      <family val="3"/>
    </font>
    <font>
      <b/>
      <sz val="8"/>
      <color theme="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top style="medium"/>
      <bottom/>
    </border>
    <border>
      <left/>
      <right style="medium"/>
      <top/>
      <bottom style="medium"/>
    </border>
    <border>
      <left/>
      <right style="medium"/>
      <top style="medium"/>
      <bottom style="thin"/>
    </border>
    <border>
      <left/>
      <right style="medium"/>
      <top style="thin"/>
      <bottom style="thin"/>
    </border>
    <border>
      <left/>
      <right style="medium"/>
      <top/>
      <bottom style="thin"/>
    </border>
    <border>
      <left style="medium"/>
      <right style="thin"/>
      <top style="medium"/>
      <bottom style="medium"/>
    </border>
    <border>
      <left style="medium"/>
      <right style="thin"/>
      <top/>
      <bottom style="medium"/>
    </border>
    <border>
      <left/>
      <right/>
      <top style="medium"/>
      <bottom style="medium"/>
    </border>
    <border>
      <left style="medium"/>
      <right style="medium"/>
      <top/>
      <bottom style="medium"/>
    </border>
    <border>
      <left style="medium"/>
      <right style="medium"/>
      <top style="medium"/>
      <bottom style="thin"/>
    </border>
    <border>
      <left style="medium"/>
      <right style="medium"/>
      <top style="thin"/>
      <bottom style="thin"/>
    </border>
    <border>
      <left style="thin"/>
      <right style="thin"/>
      <top style="medium"/>
      <bottom style="thin"/>
    </border>
    <border>
      <left style="thin"/>
      <right style="thin"/>
      <top style="thin"/>
      <bottom style="thin"/>
    </border>
    <border>
      <left style="thin"/>
      <right style="thin"/>
      <top/>
      <bottom style="thin"/>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medium"/>
      <bottom style="thin"/>
    </border>
    <border>
      <left style="thin"/>
      <right style="thick"/>
      <top style="medium"/>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double"/>
      <bottom style="medium"/>
    </border>
    <border>
      <left style="thin"/>
      <right style="thin"/>
      <top style="double"/>
      <bottom style="medium"/>
    </border>
    <border>
      <left style="thin"/>
      <right style="thick"/>
      <top style="double"/>
      <bottom style="medium"/>
    </border>
    <border>
      <left style="medium"/>
      <right/>
      <top style="medium"/>
      <bottom style="thin"/>
    </border>
    <border>
      <left style="medium"/>
      <right/>
      <top style="thin"/>
      <bottom style="thin"/>
    </border>
    <border>
      <left style="medium"/>
      <right/>
      <top/>
      <bottom style="medium"/>
    </border>
    <border>
      <left/>
      <right/>
      <top/>
      <bottom style="medium"/>
    </border>
    <border>
      <left style="thin"/>
      <right style="medium"/>
      <top style="medium"/>
      <bottom style="medium"/>
    </border>
    <border>
      <left style="medium"/>
      <right/>
      <top/>
      <bottom/>
    </border>
    <border>
      <left style="medium"/>
      <right/>
      <top/>
      <bottom style="thin"/>
    </border>
    <border>
      <left style="thin"/>
      <right/>
      <top style="medium"/>
      <bottom style="medium"/>
    </border>
    <border>
      <left style="medium"/>
      <right style="thin"/>
      <top style="double"/>
      <bottom style="medium"/>
    </border>
    <border>
      <left style="medium"/>
      <right/>
      <top style="medium"/>
      <bottom style="medium"/>
    </border>
    <border>
      <left style="medium"/>
      <right/>
      <top style="medium"/>
      <bottom/>
    </border>
    <border>
      <left style="thick"/>
      <right/>
      <top style="medium"/>
      <bottom style="double"/>
    </border>
    <border>
      <left/>
      <right/>
      <top style="medium"/>
      <bottom style="double"/>
    </border>
    <border>
      <left/>
      <right style="thick"/>
      <top style="medium"/>
      <bottom style="double"/>
    </border>
    <border>
      <left style="medium"/>
      <right/>
      <top style="medium"/>
      <bottom style="double"/>
    </border>
    <border>
      <left/>
      <right style="medium"/>
      <top style="medium"/>
      <bottom style="double"/>
    </border>
    <border>
      <left/>
      <right style="medium"/>
      <top style="medium"/>
      <bottom/>
    </border>
    <border>
      <left style="medium"/>
      <right style="medium"/>
      <top style="medium"/>
      <bottom/>
    </border>
    <border>
      <left/>
      <right/>
      <top style="thin"/>
      <bottom style="thin"/>
    </border>
    <border>
      <left/>
      <right/>
      <top style="medium"/>
      <bottom style="thin"/>
    </border>
    <border>
      <left/>
      <right/>
      <top/>
      <bottom style="thin"/>
    </border>
    <border>
      <left/>
      <right style="thin"/>
      <top style="medium"/>
      <bottom style="medium"/>
    </border>
    <border>
      <left style="medium"/>
      <right/>
      <top/>
      <bottom style="double"/>
    </border>
    <border>
      <left/>
      <right/>
      <top/>
      <bottom style="double"/>
    </border>
    <border>
      <left/>
      <right style="medium"/>
      <top/>
      <bottom style="double"/>
    </border>
    <border>
      <left/>
      <right style="medium"/>
      <top/>
      <bottom/>
    </border>
    <border>
      <left style="medium"/>
      <right/>
      <top style="hair"/>
      <bottom/>
    </border>
    <border>
      <left/>
      <right/>
      <top style="hair"/>
      <bottom/>
    </border>
    <border>
      <left/>
      <right style="medium"/>
      <top style="hair"/>
      <bottom/>
    </border>
    <border>
      <left style="medium"/>
      <right/>
      <top style="hair"/>
      <bottom style="medium"/>
    </border>
    <border>
      <left/>
      <right/>
      <top style="hair"/>
      <bottom style="medium"/>
    </border>
    <border>
      <left/>
      <right style="medium"/>
      <top style="hair"/>
      <bottom style="medium"/>
    </border>
    <border>
      <left/>
      <right style="thin"/>
      <top/>
      <bottom style="medium"/>
    </border>
    <border>
      <left style="thin"/>
      <right/>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02">
    <xf numFmtId="0" fontId="0" fillId="0" borderId="0" xfId="0" applyFont="1" applyAlignment="1">
      <alignment/>
    </xf>
    <xf numFmtId="0" fontId="0" fillId="0" borderId="0" xfId="0" applyAlignment="1">
      <alignment/>
    </xf>
    <xf numFmtId="0" fontId="0" fillId="0" borderId="10" xfId="0" applyBorder="1" applyAlignment="1">
      <alignment/>
    </xf>
    <xf numFmtId="0" fontId="55" fillId="0" borderId="10" xfId="0" applyFont="1" applyBorder="1" applyAlignment="1">
      <alignment/>
    </xf>
    <xf numFmtId="0" fontId="55" fillId="0" borderId="0" xfId="0" applyFont="1" applyBorder="1" applyAlignment="1">
      <alignment/>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6" fillId="0" borderId="16" xfId="0" applyFont="1" applyBorder="1" applyAlignment="1">
      <alignment horizontal="center" vertical="center"/>
    </xf>
    <xf numFmtId="0" fontId="0" fillId="12" borderId="10" xfId="0" applyFill="1" applyBorder="1" applyAlignment="1">
      <alignment/>
    </xf>
    <xf numFmtId="0" fontId="0" fillId="19" borderId="10" xfId="0" applyFill="1" applyBorder="1" applyAlignment="1">
      <alignment/>
    </xf>
    <xf numFmtId="0" fontId="0" fillId="33" borderId="12" xfId="0" applyFill="1" applyBorder="1" applyAlignment="1">
      <alignment/>
    </xf>
    <xf numFmtId="0" fontId="50" fillId="0" borderId="16" xfId="0" applyFont="1" applyBorder="1" applyAlignment="1">
      <alignment/>
    </xf>
    <xf numFmtId="0" fontId="57" fillId="0" borderId="16" xfId="0" applyFont="1" applyBorder="1" applyAlignment="1">
      <alignment/>
    </xf>
    <xf numFmtId="0" fontId="50" fillId="0" borderId="17" xfId="0" applyFont="1" applyBorder="1" applyAlignment="1">
      <alignment/>
    </xf>
    <xf numFmtId="20" fontId="0" fillId="0" borderId="11" xfId="0" applyNumberFormat="1" applyBorder="1" applyAlignment="1">
      <alignment/>
    </xf>
    <xf numFmtId="0" fontId="50" fillId="0" borderId="10" xfId="0" applyFont="1" applyBorder="1" applyAlignment="1">
      <alignment horizontal="left" vertical="center"/>
    </xf>
    <xf numFmtId="0" fontId="58" fillId="0" borderId="10" xfId="0" applyFont="1" applyBorder="1" applyAlignment="1">
      <alignment horizontal="left" vertical="center"/>
    </xf>
    <xf numFmtId="0" fontId="56" fillId="19" borderId="18" xfId="0" applyFont="1" applyFill="1" applyBorder="1" applyAlignment="1">
      <alignment horizontal="center" vertical="center"/>
    </xf>
    <xf numFmtId="20" fontId="55" fillId="0" borderId="11" xfId="0" applyNumberFormat="1" applyFont="1" applyBorder="1" applyAlignment="1">
      <alignment/>
    </xf>
    <xf numFmtId="0" fontId="55" fillId="0" borderId="11" xfId="0" applyFont="1" applyBorder="1" applyAlignment="1">
      <alignment horizontal="center"/>
    </xf>
    <xf numFmtId="0" fontId="0" fillId="0" borderId="11" xfId="0" applyBorder="1" applyAlignment="1">
      <alignment horizontal="left"/>
    </xf>
    <xf numFmtId="0" fontId="0" fillId="0" borderId="0" xfId="0" applyBorder="1" applyAlignment="1">
      <alignment/>
    </xf>
    <xf numFmtId="0" fontId="55" fillId="0" borderId="18" xfId="0" applyFont="1" applyBorder="1" applyAlignment="1">
      <alignment horizontal="center"/>
    </xf>
    <xf numFmtId="0" fontId="0" fillId="0" borderId="18" xfId="0" applyBorder="1" applyAlignment="1">
      <alignment horizontal="center"/>
    </xf>
    <xf numFmtId="0" fontId="59" fillId="0" borderId="16" xfId="0" applyFont="1" applyBorder="1" applyAlignment="1">
      <alignment/>
    </xf>
    <xf numFmtId="0" fontId="50" fillId="0" borderId="16" xfId="0" applyFont="1" applyBorder="1" applyAlignment="1">
      <alignment horizontal="center"/>
    </xf>
    <xf numFmtId="0" fontId="59" fillId="0" borderId="16" xfId="0" applyFont="1" applyBorder="1" applyAlignment="1">
      <alignment/>
    </xf>
    <xf numFmtId="0" fontId="50" fillId="0" borderId="19" xfId="0" applyFont="1" applyBorder="1" applyAlignment="1">
      <alignment/>
    </xf>
    <xf numFmtId="0" fontId="50" fillId="0" borderId="20" xfId="0" applyFont="1" applyBorder="1" applyAlignment="1">
      <alignment/>
    </xf>
    <xf numFmtId="0" fontId="50" fillId="0" borderId="21" xfId="0" applyFont="1" applyBorder="1" applyAlignment="1">
      <alignment/>
    </xf>
    <xf numFmtId="0" fontId="59" fillId="0" borderId="21" xfId="0" applyFont="1" applyBorder="1" applyAlignment="1">
      <alignment/>
    </xf>
    <xf numFmtId="0" fontId="50" fillId="0" borderId="0" xfId="0" applyFont="1" applyAlignment="1">
      <alignment horizontal="center"/>
    </xf>
    <xf numFmtId="0" fontId="50" fillId="34" borderId="22" xfId="0" applyFont="1" applyFill="1" applyBorder="1" applyAlignment="1">
      <alignment/>
    </xf>
    <xf numFmtId="0" fontId="50" fillId="9" borderId="23" xfId="0" applyFont="1" applyFill="1" applyBorder="1" applyAlignment="1">
      <alignment/>
    </xf>
    <xf numFmtId="0" fontId="50" fillId="16" borderId="23" xfId="0" applyFont="1" applyFill="1" applyBorder="1" applyAlignment="1">
      <alignment/>
    </xf>
    <xf numFmtId="0" fontId="50" fillId="34" borderId="24" xfId="0" applyFont="1" applyFill="1" applyBorder="1" applyAlignment="1">
      <alignment/>
    </xf>
    <xf numFmtId="0" fontId="50" fillId="34" borderId="25" xfId="0" applyFont="1" applyFill="1" applyBorder="1" applyAlignment="1">
      <alignment horizontal="right"/>
    </xf>
    <xf numFmtId="0" fontId="50" fillId="34" borderId="26" xfId="0" applyFont="1" applyFill="1" applyBorder="1" applyAlignment="1">
      <alignment horizontal="center"/>
    </xf>
    <xf numFmtId="0" fontId="50" fillId="9" borderId="27" xfId="0" applyFont="1" applyFill="1" applyBorder="1" applyAlignment="1">
      <alignment horizontal="right"/>
    </xf>
    <xf numFmtId="0" fontId="50" fillId="9" borderId="28" xfId="0" applyFont="1" applyFill="1" applyBorder="1" applyAlignment="1">
      <alignment horizontal="center"/>
    </xf>
    <xf numFmtId="0" fontId="50" fillId="16" borderId="27" xfId="0" applyFont="1" applyFill="1" applyBorder="1" applyAlignment="1">
      <alignment horizontal="right"/>
    </xf>
    <xf numFmtId="0" fontId="50" fillId="16" borderId="28" xfId="0" applyFont="1" applyFill="1" applyBorder="1" applyAlignment="1">
      <alignment horizontal="center"/>
    </xf>
    <xf numFmtId="0" fontId="50" fillId="34" borderId="29" xfId="0" applyFont="1" applyFill="1" applyBorder="1" applyAlignment="1">
      <alignment horizontal="right"/>
    </xf>
    <xf numFmtId="0" fontId="50" fillId="34" borderId="30" xfId="0" applyFont="1" applyFill="1" applyBorder="1" applyAlignment="1">
      <alignment horizontal="center"/>
    </xf>
    <xf numFmtId="0" fontId="50" fillId="9" borderId="31" xfId="0" applyFont="1" applyFill="1" applyBorder="1" applyAlignment="1">
      <alignment horizontal="right"/>
    </xf>
    <xf numFmtId="0" fontId="50" fillId="9" borderId="32" xfId="0" applyFont="1" applyFill="1" applyBorder="1" applyAlignment="1">
      <alignment/>
    </xf>
    <xf numFmtId="0" fontId="50" fillId="9" borderId="33" xfId="0" applyFont="1" applyFill="1" applyBorder="1" applyAlignment="1">
      <alignment horizontal="center"/>
    </xf>
    <xf numFmtId="0" fontId="50" fillId="0" borderId="34" xfId="0" applyFont="1" applyBorder="1" applyAlignment="1">
      <alignment horizontal="center"/>
    </xf>
    <xf numFmtId="0" fontId="50" fillId="0" borderId="35" xfId="0" applyFont="1" applyBorder="1" applyAlignment="1">
      <alignment horizontal="center"/>
    </xf>
    <xf numFmtId="0" fontId="50" fillId="0" borderId="36" xfId="0" applyFont="1" applyBorder="1" applyAlignment="1">
      <alignment horizontal="center"/>
    </xf>
    <xf numFmtId="0" fontId="60" fillId="19" borderId="37" xfId="0" applyFont="1" applyFill="1" applyBorder="1" applyAlignment="1">
      <alignment/>
    </xf>
    <xf numFmtId="0" fontId="60" fillId="19" borderId="38" xfId="0" applyFont="1" applyFill="1" applyBorder="1" applyAlignment="1">
      <alignment/>
    </xf>
    <xf numFmtId="0" fontId="60" fillId="12" borderId="38" xfId="0" applyFont="1" applyFill="1" applyBorder="1" applyAlignment="1">
      <alignment/>
    </xf>
    <xf numFmtId="176" fontId="60" fillId="19" borderId="38" xfId="0" applyNumberFormat="1" applyFont="1" applyFill="1" applyBorder="1" applyAlignment="1">
      <alignment/>
    </xf>
    <xf numFmtId="180" fontId="60" fillId="19" borderId="38" xfId="0" applyNumberFormat="1" applyFont="1" applyFill="1" applyBorder="1" applyAlignment="1">
      <alignment/>
    </xf>
    <xf numFmtId="0" fontId="60" fillId="12" borderId="39" xfId="0" applyFont="1" applyFill="1" applyBorder="1" applyAlignment="1">
      <alignment/>
    </xf>
    <xf numFmtId="179" fontId="60" fillId="19" borderId="37" xfId="0" applyNumberFormat="1" applyFont="1" applyFill="1" applyBorder="1" applyAlignment="1">
      <alignment/>
    </xf>
    <xf numFmtId="0" fontId="60" fillId="33" borderId="38" xfId="0" applyFont="1" applyFill="1" applyBorder="1" applyAlignment="1">
      <alignment/>
    </xf>
    <xf numFmtId="177" fontId="60" fillId="19" borderId="38" xfId="0" applyNumberFormat="1" applyFont="1" applyFill="1" applyBorder="1" applyAlignment="1">
      <alignment/>
    </xf>
    <xf numFmtId="178" fontId="60" fillId="19" borderId="38" xfId="0" applyNumberFormat="1" applyFont="1" applyFill="1" applyBorder="1" applyAlignment="1">
      <alignment/>
    </xf>
    <xf numFmtId="177" fontId="60" fillId="34" borderId="38" xfId="0" applyNumberFormat="1" applyFont="1" applyFill="1" applyBorder="1" applyAlignment="1">
      <alignment/>
    </xf>
    <xf numFmtId="0" fontId="60" fillId="12" borderId="37" xfId="0" applyFont="1" applyFill="1" applyBorder="1" applyAlignment="1">
      <alignment/>
    </xf>
    <xf numFmtId="180" fontId="61" fillId="19" borderId="18" xfId="0" applyNumberFormat="1" applyFont="1" applyFill="1" applyBorder="1" applyAlignment="1">
      <alignment horizontal="right" vertical="center"/>
    </xf>
    <xf numFmtId="180" fontId="61" fillId="19" borderId="18" xfId="0" applyNumberFormat="1" applyFont="1" applyFill="1" applyBorder="1" applyAlignment="1">
      <alignment/>
    </xf>
    <xf numFmtId="0" fontId="60" fillId="33" borderId="18" xfId="0" applyFont="1" applyFill="1" applyBorder="1" applyAlignment="1">
      <alignment/>
    </xf>
    <xf numFmtId="0" fontId="60" fillId="19" borderId="40" xfId="0" applyFont="1" applyFill="1" applyBorder="1" applyAlignment="1">
      <alignment/>
    </xf>
    <xf numFmtId="0" fontId="60" fillId="33" borderId="18" xfId="0" applyFont="1" applyFill="1" applyBorder="1" applyAlignment="1">
      <alignment/>
    </xf>
    <xf numFmtId="0" fontId="60" fillId="33" borderId="10" xfId="0" applyFont="1" applyFill="1" applyBorder="1" applyAlignment="1">
      <alignment/>
    </xf>
    <xf numFmtId="0" fontId="60" fillId="33" borderId="10" xfId="0" applyFont="1" applyFill="1" applyBorder="1" applyAlignment="1">
      <alignment/>
    </xf>
    <xf numFmtId="0" fontId="60" fillId="12" borderId="18" xfId="0" applyFont="1" applyFill="1" applyBorder="1" applyAlignment="1">
      <alignment horizontal="right"/>
    </xf>
    <xf numFmtId="0" fontId="60" fillId="12" borderId="18" xfId="0" applyFont="1" applyFill="1" applyBorder="1" applyAlignment="1">
      <alignment/>
    </xf>
    <xf numFmtId="181" fontId="60" fillId="33" borderId="18" xfId="0" applyNumberFormat="1" applyFont="1" applyFill="1" applyBorder="1" applyAlignment="1">
      <alignment/>
    </xf>
    <xf numFmtId="182" fontId="60" fillId="33" borderId="41" xfId="0" applyNumberFormat="1" applyFont="1" applyFill="1" applyBorder="1" applyAlignment="1">
      <alignment horizontal="left"/>
    </xf>
    <xf numFmtId="0" fontId="60" fillId="33" borderId="10" xfId="0" applyFont="1" applyFill="1" applyBorder="1" applyAlignment="1">
      <alignment horizontal="right"/>
    </xf>
    <xf numFmtId="0" fontId="60" fillId="12" borderId="18" xfId="0" applyFont="1" applyFill="1" applyBorder="1" applyAlignment="1">
      <alignment/>
    </xf>
    <xf numFmtId="0" fontId="50" fillId="0" borderId="18" xfId="0" applyFont="1" applyBorder="1" applyAlignment="1">
      <alignment/>
    </xf>
    <xf numFmtId="0" fontId="0" fillId="0" borderId="40" xfId="0" applyBorder="1" applyAlignment="1">
      <alignment/>
    </xf>
    <xf numFmtId="0" fontId="0" fillId="0" borderId="42" xfId="0" applyBorder="1" applyAlignment="1">
      <alignment/>
    </xf>
    <xf numFmtId="0" fontId="60" fillId="35" borderId="18" xfId="0" applyFont="1" applyFill="1" applyBorder="1" applyAlignment="1">
      <alignment/>
    </xf>
    <xf numFmtId="0" fontId="55" fillId="0" borderId="40" xfId="0" applyFont="1" applyBorder="1" applyAlignment="1">
      <alignment/>
    </xf>
    <xf numFmtId="0" fontId="60" fillId="35" borderId="11" xfId="0" applyFont="1" applyFill="1" applyBorder="1" applyAlignment="1">
      <alignment/>
    </xf>
    <xf numFmtId="0" fontId="0" fillId="0" borderId="11" xfId="0" applyBorder="1" applyAlignment="1">
      <alignment/>
    </xf>
    <xf numFmtId="180" fontId="60" fillId="12" borderId="43" xfId="0" applyNumberFormat="1" applyFont="1" applyFill="1" applyBorder="1" applyAlignment="1">
      <alignment/>
    </xf>
    <xf numFmtId="0" fontId="60" fillId="33" borderId="44" xfId="0" applyFont="1" applyFill="1" applyBorder="1" applyAlignment="1">
      <alignment/>
    </xf>
    <xf numFmtId="20" fontId="50" fillId="36" borderId="45" xfId="0" applyNumberFormat="1" applyFont="1" applyFill="1" applyBorder="1" applyAlignment="1">
      <alignment/>
    </xf>
    <xf numFmtId="0" fontId="50" fillId="36" borderId="16" xfId="0" applyFont="1" applyFill="1" applyBorder="1" applyAlignment="1">
      <alignment/>
    </xf>
    <xf numFmtId="0" fontId="50" fillId="36" borderId="46" xfId="0" applyFont="1" applyFill="1" applyBorder="1" applyAlignment="1">
      <alignment/>
    </xf>
    <xf numFmtId="0" fontId="50" fillId="36" borderId="47" xfId="0" applyFont="1" applyFill="1" applyBorder="1" applyAlignment="1">
      <alignment/>
    </xf>
    <xf numFmtId="0" fontId="60" fillId="34" borderId="38" xfId="0" applyFont="1" applyFill="1" applyBorder="1" applyAlignment="1">
      <alignment/>
    </xf>
    <xf numFmtId="177" fontId="60" fillId="34" borderId="38" xfId="0" applyNumberFormat="1" applyFont="1" applyFill="1" applyBorder="1" applyAlignment="1">
      <alignment horizontal="right"/>
    </xf>
    <xf numFmtId="0" fontId="0" fillId="0" borderId="42" xfId="0" applyFill="1" applyBorder="1" applyAlignment="1">
      <alignment/>
    </xf>
    <xf numFmtId="0" fontId="50" fillId="0" borderId="48" xfId="0" applyFont="1" applyBorder="1" applyAlignment="1">
      <alignment horizontal="center"/>
    </xf>
    <xf numFmtId="0" fontId="50" fillId="0" borderId="49" xfId="0" applyFont="1" applyBorder="1" applyAlignment="1">
      <alignment horizontal="center"/>
    </xf>
    <xf numFmtId="0" fontId="50" fillId="0" borderId="50" xfId="0" applyFont="1" applyBorder="1" applyAlignment="1">
      <alignment horizontal="center"/>
    </xf>
    <xf numFmtId="0" fontId="62" fillId="0" borderId="51" xfId="0" applyFont="1" applyBorder="1" applyAlignment="1">
      <alignment horizontal="center" vertical="center"/>
    </xf>
    <xf numFmtId="0" fontId="62" fillId="0" borderId="49" xfId="0" applyFont="1" applyBorder="1" applyAlignment="1">
      <alignment horizontal="center" vertical="center"/>
    </xf>
    <xf numFmtId="0" fontId="62" fillId="0" borderId="52" xfId="0" applyFont="1" applyBorder="1" applyAlignment="1">
      <alignment horizontal="center" vertical="center"/>
    </xf>
    <xf numFmtId="0" fontId="50" fillId="0" borderId="39" xfId="0" applyFont="1" applyBorder="1" applyAlignment="1">
      <alignment horizontal="center"/>
    </xf>
    <xf numFmtId="0" fontId="50" fillId="0" borderId="12" xfId="0" applyFont="1" applyBorder="1" applyAlignment="1">
      <alignment horizontal="center"/>
    </xf>
    <xf numFmtId="0" fontId="58" fillId="0" borderId="53" xfId="0" applyFont="1" applyBorder="1" applyAlignment="1">
      <alignment horizontal="left" vertical="center"/>
    </xf>
    <xf numFmtId="0" fontId="58" fillId="0" borderId="12" xfId="0" applyFont="1" applyBorder="1" applyAlignment="1">
      <alignment horizontal="left" vertical="center"/>
    </xf>
    <xf numFmtId="0" fontId="63" fillId="0" borderId="49" xfId="0" applyFont="1" applyBorder="1" applyAlignment="1">
      <alignment horizontal="center" vertical="center"/>
    </xf>
    <xf numFmtId="0" fontId="63" fillId="0" borderId="52" xfId="0" applyFont="1" applyBorder="1" applyAlignment="1">
      <alignment horizontal="center" vertical="center"/>
    </xf>
    <xf numFmtId="0" fontId="56" fillId="0" borderId="54" xfId="0" applyFont="1" applyBorder="1" applyAlignment="1">
      <alignment horizontal="center" vertical="center"/>
    </xf>
    <xf numFmtId="0" fontId="0" fillId="0" borderId="19" xfId="0" applyBorder="1" applyAlignment="1">
      <alignment horizontal="center" vertical="center"/>
    </xf>
    <xf numFmtId="179" fontId="58" fillId="19" borderId="47" xfId="0" applyNumberFormat="1" applyFont="1" applyFill="1" applyBorder="1" applyAlignment="1">
      <alignment horizontal="center" vertical="center"/>
    </xf>
    <xf numFmtId="179" fontId="58" fillId="19" borderId="39" xfId="0" applyNumberFormat="1" applyFont="1" applyFill="1" applyBorder="1" applyAlignment="1">
      <alignment horizontal="center" vertical="center"/>
    </xf>
    <xf numFmtId="0" fontId="56" fillId="0" borderId="47" xfId="0" applyFont="1" applyBorder="1" applyAlignment="1">
      <alignment horizontal="center" vertical="center"/>
    </xf>
    <xf numFmtId="0" fontId="56" fillId="0" borderId="11" xfId="0" applyFont="1" applyBorder="1" applyAlignment="1">
      <alignment horizontal="center" vertical="center"/>
    </xf>
    <xf numFmtId="0" fontId="56" fillId="0" borderId="53" xfId="0" applyFont="1" applyBorder="1" applyAlignment="1">
      <alignment horizontal="center" vertical="center"/>
    </xf>
    <xf numFmtId="0" fontId="56" fillId="0" borderId="39" xfId="0" applyFont="1" applyBorder="1" applyAlignment="1">
      <alignment horizontal="center" vertical="center"/>
    </xf>
    <xf numFmtId="0" fontId="56" fillId="0" borderId="40" xfId="0" applyFont="1" applyBorder="1" applyAlignment="1">
      <alignment horizontal="center" vertical="center"/>
    </xf>
    <xf numFmtId="0" fontId="56" fillId="0" borderId="12" xfId="0" applyFont="1" applyBorder="1" applyAlignment="1">
      <alignment horizontal="center" vertical="center"/>
    </xf>
    <xf numFmtId="180" fontId="58" fillId="19" borderId="47" xfId="0" applyNumberFormat="1" applyFont="1" applyFill="1" applyBorder="1" applyAlignment="1">
      <alignment horizontal="center" vertical="center"/>
    </xf>
    <xf numFmtId="180" fontId="58" fillId="19" borderId="39" xfId="0" applyNumberFormat="1" applyFont="1" applyFill="1" applyBorder="1" applyAlignment="1">
      <alignment horizontal="center" vertical="center"/>
    </xf>
    <xf numFmtId="0" fontId="64" fillId="0" borderId="51" xfId="0" applyFont="1" applyBorder="1" applyAlignment="1">
      <alignment horizontal="center" vertical="center"/>
    </xf>
    <xf numFmtId="0" fontId="64" fillId="0" borderId="49" xfId="0" applyFont="1" applyBorder="1" applyAlignment="1">
      <alignment horizontal="center" vertical="center"/>
    </xf>
    <xf numFmtId="0" fontId="64" fillId="0" borderId="52" xfId="0" applyFont="1" applyBorder="1" applyAlignment="1">
      <alignment horizontal="center" vertical="center"/>
    </xf>
    <xf numFmtId="0" fontId="50" fillId="0" borderId="38" xfId="0" applyFont="1" applyBorder="1" applyAlignment="1">
      <alignment horizontal="center"/>
    </xf>
    <xf numFmtId="0" fontId="50" fillId="0" borderId="55" xfId="0" applyFont="1" applyBorder="1" applyAlignment="1">
      <alignment horizontal="center"/>
    </xf>
    <xf numFmtId="0" fontId="50" fillId="0" borderId="14" xfId="0" applyFont="1" applyBorder="1" applyAlignment="1">
      <alignment horizontal="center"/>
    </xf>
    <xf numFmtId="0" fontId="65" fillId="0" borderId="47" xfId="0" applyFont="1" applyBorder="1" applyAlignment="1">
      <alignment horizontal="center" vertical="center"/>
    </xf>
    <xf numFmtId="0" fontId="65" fillId="0" borderId="11" xfId="0" applyFont="1" applyBorder="1" applyAlignment="1">
      <alignment horizontal="center" vertical="center"/>
    </xf>
    <xf numFmtId="0" fontId="65" fillId="0" borderId="53" xfId="0" applyFont="1" applyBorder="1" applyAlignment="1">
      <alignment horizontal="center" vertical="center"/>
    </xf>
    <xf numFmtId="0" fontId="65" fillId="0" borderId="39" xfId="0" applyFont="1" applyBorder="1" applyAlignment="1">
      <alignment horizontal="center" vertical="center"/>
    </xf>
    <xf numFmtId="0" fontId="65" fillId="0" borderId="40" xfId="0" applyFont="1" applyBorder="1" applyAlignment="1">
      <alignment horizontal="center" vertical="center"/>
    </xf>
    <xf numFmtId="0" fontId="65" fillId="0" borderId="12" xfId="0" applyFont="1" applyBorder="1" applyAlignment="1">
      <alignment horizontal="center" vertical="center"/>
    </xf>
    <xf numFmtId="0" fontId="50" fillId="0" borderId="40" xfId="0" applyFont="1" applyBorder="1" applyAlignment="1">
      <alignment horizontal="center"/>
    </xf>
    <xf numFmtId="0" fontId="50" fillId="0" borderId="37" xfId="0" applyFont="1" applyBorder="1" applyAlignment="1">
      <alignment horizontal="center"/>
    </xf>
    <xf numFmtId="0" fontId="50" fillId="0" borderId="56" xfId="0" applyFont="1" applyBorder="1" applyAlignment="1">
      <alignment horizontal="center"/>
    </xf>
    <xf numFmtId="0" fontId="50" fillId="0" borderId="13" xfId="0" applyFont="1" applyBorder="1" applyAlignment="1">
      <alignment horizontal="center"/>
    </xf>
    <xf numFmtId="0" fontId="50" fillId="0" borderId="43" xfId="0" applyFont="1" applyBorder="1" applyAlignment="1">
      <alignment horizontal="center"/>
    </xf>
    <xf numFmtId="0" fontId="50" fillId="0" borderId="57" xfId="0" applyFont="1" applyBorder="1" applyAlignment="1">
      <alignment horizontal="center"/>
    </xf>
    <xf numFmtId="0" fontId="50" fillId="0" borderId="15" xfId="0" applyFont="1" applyBorder="1" applyAlignment="1">
      <alignment horizontal="center"/>
    </xf>
    <xf numFmtId="0" fontId="59" fillId="0" borderId="46" xfId="0" applyFont="1" applyBorder="1" applyAlignment="1">
      <alignment horizontal="center"/>
    </xf>
    <xf numFmtId="0" fontId="59" fillId="0" borderId="58" xfId="0" applyFont="1" applyBorder="1" applyAlignment="1">
      <alignment horizontal="center"/>
    </xf>
    <xf numFmtId="0" fontId="50" fillId="0" borderId="46" xfId="0" applyFont="1" applyBorder="1" applyAlignment="1">
      <alignment horizontal="center"/>
    </xf>
    <xf numFmtId="0" fontId="50" fillId="0" borderId="58" xfId="0" applyFont="1" applyBorder="1" applyAlignment="1">
      <alignment horizontal="center"/>
    </xf>
    <xf numFmtId="0" fontId="0" fillId="0" borderId="0" xfId="0" applyAlignment="1">
      <alignment horizontal="center"/>
    </xf>
    <xf numFmtId="0" fontId="50" fillId="0" borderId="18" xfId="0" applyFont="1" applyBorder="1" applyAlignment="1">
      <alignment horizontal="center"/>
    </xf>
    <xf numFmtId="0" fontId="50" fillId="0" borderId="10" xfId="0" applyFont="1" applyBorder="1" applyAlignment="1">
      <alignment horizontal="center"/>
    </xf>
    <xf numFmtId="20" fontId="66" fillId="37" borderId="51" xfId="0" applyNumberFormat="1" applyFont="1" applyFill="1" applyBorder="1" applyAlignment="1">
      <alignment horizontal="center"/>
    </xf>
    <xf numFmtId="20" fontId="66" fillId="37" borderId="49" xfId="0" applyNumberFormat="1" applyFont="1" applyFill="1" applyBorder="1" applyAlignment="1">
      <alignment horizontal="center"/>
    </xf>
    <xf numFmtId="20" fontId="66" fillId="37" borderId="52" xfId="0" applyNumberFormat="1" applyFont="1" applyFill="1" applyBorder="1" applyAlignment="1">
      <alignment horizontal="center"/>
    </xf>
    <xf numFmtId="20" fontId="0" fillId="0" borderId="0" xfId="0" applyNumberFormat="1" applyBorder="1" applyAlignment="1">
      <alignment horizontal="center"/>
    </xf>
    <xf numFmtId="0" fontId="67" fillId="37" borderId="47" xfId="0" applyFont="1" applyFill="1" applyBorder="1" applyAlignment="1">
      <alignment horizontal="center"/>
    </xf>
    <xf numFmtId="0" fontId="67" fillId="37" borderId="11" xfId="0" applyFont="1" applyFill="1" applyBorder="1" applyAlignment="1">
      <alignment horizontal="center"/>
    </xf>
    <xf numFmtId="0" fontId="67" fillId="37" borderId="53" xfId="0" applyFont="1" applyFill="1" applyBorder="1" applyAlignment="1">
      <alignment horizontal="center"/>
    </xf>
    <xf numFmtId="0" fontId="67" fillId="37" borderId="59" xfId="0" applyFont="1" applyFill="1" applyBorder="1" applyAlignment="1">
      <alignment horizontal="center"/>
    </xf>
    <xf numFmtId="0" fontId="67" fillId="37" borderId="60" xfId="0" applyFont="1" applyFill="1" applyBorder="1" applyAlignment="1">
      <alignment horizontal="center"/>
    </xf>
    <xf numFmtId="0" fontId="67" fillId="37" borderId="61" xfId="0" applyFont="1" applyFill="1" applyBorder="1" applyAlignment="1">
      <alignment horizontal="center"/>
    </xf>
    <xf numFmtId="20" fontId="0" fillId="0" borderId="42" xfId="0" applyNumberFormat="1" applyBorder="1" applyAlignment="1">
      <alignment horizontal="left"/>
    </xf>
    <xf numFmtId="20" fontId="0" fillId="0" borderId="0" xfId="0" applyNumberFormat="1" applyBorder="1" applyAlignment="1">
      <alignment horizontal="left"/>
    </xf>
    <xf numFmtId="20" fontId="0" fillId="0" borderId="62" xfId="0" applyNumberFormat="1" applyBorder="1" applyAlignment="1">
      <alignment horizontal="left"/>
    </xf>
    <xf numFmtId="20" fontId="0" fillId="0" borderId="63" xfId="0" applyNumberFormat="1" applyBorder="1" applyAlignment="1">
      <alignment horizontal="left"/>
    </xf>
    <xf numFmtId="20" fontId="0" fillId="0" borderId="64" xfId="0" applyNumberFormat="1" applyBorder="1" applyAlignment="1">
      <alignment horizontal="left"/>
    </xf>
    <xf numFmtId="20" fontId="0" fillId="0" borderId="65" xfId="0" applyNumberFormat="1" applyBorder="1" applyAlignment="1">
      <alignment horizontal="left"/>
    </xf>
    <xf numFmtId="20" fontId="0" fillId="0" borderId="66" xfId="0" applyNumberFormat="1" applyBorder="1" applyAlignment="1">
      <alignment horizontal="left"/>
    </xf>
    <xf numFmtId="20" fontId="0" fillId="0" borderId="67" xfId="0" applyNumberFormat="1" applyBorder="1" applyAlignment="1">
      <alignment horizontal="left"/>
    </xf>
    <xf numFmtId="20" fontId="0" fillId="0" borderId="68" xfId="0" applyNumberFormat="1" applyBorder="1" applyAlignment="1">
      <alignment horizontal="left"/>
    </xf>
    <xf numFmtId="0" fontId="58" fillId="19" borderId="47" xfId="0" applyFont="1" applyFill="1" applyBorder="1" applyAlignment="1">
      <alignment horizontal="center" vertical="center"/>
    </xf>
    <xf numFmtId="0" fontId="58" fillId="19" borderId="39" xfId="0" applyFont="1" applyFill="1" applyBorder="1" applyAlignment="1">
      <alignment horizontal="center" vertical="center"/>
    </xf>
    <xf numFmtId="0" fontId="50" fillId="0" borderId="69" xfId="0" applyFont="1" applyBorder="1" applyAlignment="1">
      <alignment horizontal="center"/>
    </xf>
    <xf numFmtId="20" fontId="0" fillId="0" borderId="44" xfId="0" applyNumberFormat="1" applyBorder="1" applyAlignment="1">
      <alignment/>
    </xf>
    <xf numFmtId="20" fontId="0" fillId="0" borderId="18" xfId="0" applyNumberFormat="1" applyBorder="1" applyAlignment="1">
      <alignment/>
    </xf>
    <xf numFmtId="20" fontId="0" fillId="0" borderId="10" xfId="0" applyNumberFormat="1" applyBorder="1" applyAlignment="1">
      <alignment/>
    </xf>
    <xf numFmtId="0" fontId="50" fillId="36" borderId="46" xfId="0" applyFont="1" applyFill="1" applyBorder="1" applyAlignment="1">
      <alignment horizontal="center"/>
    </xf>
    <xf numFmtId="0" fontId="50" fillId="36" borderId="58" xfId="0" applyFont="1" applyFill="1" applyBorder="1" applyAlignment="1">
      <alignment horizontal="center"/>
    </xf>
    <xf numFmtId="0" fontId="50" fillId="36" borderId="46" xfId="0" applyFont="1" applyFill="1" applyBorder="1" applyAlignment="1">
      <alignment horizontal="center" wrapText="1"/>
    </xf>
    <xf numFmtId="0" fontId="50" fillId="36" borderId="58" xfId="0" applyFont="1" applyFill="1" applyBorder="1" applyAlignment="1">
      <alignment horizontal="center" wrapText="1"/>
    </xf>
    <xf numFmtId="20" fontId="55" fillId="0" borderId="44" xfId="0" applyNumberFormat="1" applyFont="1" applyBorder="1" applyAlignment="1">
      <alignment/>
    </xf>
    <xf numFmtId="20" fontId="55" fillId="0" borderId="18" xfId="0" applyNumberFormat="1" applyFont="1" applyBorder="1" applyAlignment="1">
      <alignment/>
    </xf>
    <xf numFmtId="20" fontId="55" fillId="0" borderId="10" xfId="0" applyNumberFormat="1" applyFont="1" applyBorder="1" applyAlignment="1">
      <alignment/>
    </xf>
    <xf numFmtId="20" fontId="0" fillId="0" borderId="40" xfId="0" applyNumberFormat="1" applyBorder="1" applyAlignment="1">
      <alignment/>
    </xf>
    <xf numFmtId="20" fontId="0" fillId="0" borderId="12" xfId="0" applyNumberFormat="1" applyBorder="1" applyAlignment="1">
      <alignment/>
    </xf>
    <xf numFmtId="0" fontId="50" fillId="36" borderId="39" xfId="0" applyFont="1" applyFill="1" applyBorder="1" applyAlignment="1">
      <alignment horizontal="center"/>
    </xf>
    <xf numFmtId="0" fontId="50" fillId="36" borderId="69" xfId="0" applyFont="1" applyFill="1" applyBorder="1" applyAlignment="1">
      <alignment horizontal="center"/>
    </xf>
    <xf numFmtId="20" fontId="0" fillId="0" borderId="70" xfId="0" applyNumberFormat="1" applyBorder="1" applyAlignment="1">
      <alignment/>
    </xf>
    <xf numFmtId="0" fontId="59" fillId="36" borderId="46" xfId="0" applyFont="1" applyFill="1" applyBorder="1" applyAlignment="1">
      <alignment horizontal="center"/>
    </xf>
    <xf numFmtId="0" fontId="59" fillId="36" borderId="58" xfId="0" applyFont="1" applyFill="1" applyBorder="1" applyAlignment="1">
      <alignment horizontal="center"/>
    </xf>
    <xf numFmtId="0" fontId="58" fillId="37" borderId="51" xfId="0" applyFont="1" applyFill="1" applyBorder="1" applyAlignment="1">
      <alignment horizontal="center"/>
    </xf>
    <xf numFmtId="0" fontId="0" fillId="37" borderId="49" xfId="0" applyFill="1" applyBorder="1" applyAlignment="1">
      <alignment horizontal="center"/>
    </xf>
    <xf numFmtId="0" fontId="0" fillId="37" borderId="52" xfId="0" applyFill="1" applyBorder="1" applyAlignment="1">
      <alignment horizontal="center"/>
    </xf>
    <xf numFmtId="0" fontId="68" fillId="36" borderId="46" xfId="0" applyFont="1" applyFill="1" applyBorder="1" applyAlignment="1">
      <alignment horizontal="center"/>
    </xf>
    <xf numFmtId="0" fontId="68" fillId="36" borderId="58" xfId="0" applyFont="1" applyFill="1" applyBorder="1" applyAlignment="1">
      <alignment horizontal="center"/>
    </xf>
    <xf numFmtId="0" fontId="0" fillId="0" borderId="70" xfId="0" applyBorder="1" applyAlignment="1">
      <alignment horizontal="left"/>
    </xf>
    <xf numFmtId="0" fontId="0" fillId="0" borderId="40" xfId="0" applyBorder="1" applyAlignment="1">
      <alignment horizontal="left"/>
    </xf>
    <xf numFmtId="0" fontId="0" fillId="0" borderId="12" xfId="0" applyBorder="1" applyAlignment="1">
      <alignment horizontal="left"/>
    </xf>
    <xf numFmtId="0" fontId="0" fillId="0" borderId="44" xfId="0" applyBorder="1" applyAlignment="1">
      <alignment horizontal="left"/>
    </xf>
    <xf numFmtId="0" fontId="0" fillId="0" borderId="18" xfId="0" applyBorder="1" applyAlignment="1">
      <alignment horizontal="left"/>
    </xf>
    <xf numFmtId="0" fontId="0" fillId="0" borderId="10" xfId="0" applyBorder="1" applyAlignment="1">
      <alignment horizontal="left"/>
    </xf>
    <xf numFmtId="0" fontId="59" fillId="36" borderId="39" xfId="0" applyFont="1" applyFill="1" applyBorder="1" applyAlignment="1">
      <alignment horizontal="center"/>
    </xf>
    <xf numFmtId="0" fontId="59" fillId="36" borderId="69" xfId="0" applyFont="1" applyFill="1" applyBorder="1" applyAlignment="1">
      <alignment horizontal="center"/>
    </xf>
    <xf numFmtId="0" fontId="50" fillId="36" borderId="18" xfId="0" applyFont="1" applyFill="1" applyBorder="1" applyAlignment="1">
      <alignment horizontal="center"/>
    </xf>
    <xf numFmtId="0" fontId="0" fillId="0" borderId="44" xfId="0" applyBorder="1" applyAlignment="1">
      <alignment/>
    </xf>
    <xf numFmtId="0" fontId="0" fillId="0" borderId="18" xfId="0" applyBorder="1" applyAlignment="1">
      <alignment/>
    </xf>
    <xf numFmtId="0" fontId="0" fillId="0" borderId="10" xfId="0" applyBorder="1" applyAlignment="1">
      <alignment/>
    </xf>
    <xf numFmtId="20" fontId="0" fillId="0" borderId="44" xfId="0" applyNumberFormat="1" applyFont="1" applyBorder="1" applyAlignment="1">
      <alignment/>
    </xf>
    <xf numFmtId="0" fontId="0" fillId="0" borderId="58"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32</xdr:row>
      <xdr:rowOff>38100</xdr:rowOff>
    </xdr:from>
    <xdr:to>
      <xdr:col>11</xdr:col>
      <xdr:colOff>171450</xdr:colOff>
      <xdr:row>36</xdr:row>
      <xdr:rowOff>133350</xdr:rowOff>
    </xdr:to>
    <xdr:sp>
      <xdr:nvSpPr>
        <xdr:cNvPr id="1" name="左矢印 1"/>
        <xdr:cNvSpPr>
          <a:spLocks/>
        </xdr:cNvSpPr>
      </xdr:nvSpPr>
      <xdr:spPr>
        <a:xfrm>
          <a:off x="7296150" y="7658100"/>
          <a:ext cx="1371600" cy="1047750"/>
        </a:xfrm>
        <a:prstGeom prst="leftArrow">
          <a:avLst>
            <a:gd name="adj" fmla="val -22981"/>
          </a:avLst>
        </a:prstGeom>
        <a:solidFill>
          <a:srgbClr val="DCE6F2"/>
        </a:solidFill>
        <a:ln w="25400" cmpd="sng">
          <a:solidFill>
            <a:srgbClr val="F79646"/>
          </a:solidFill>
          <a:headEnd type="none"/>
          <a:tailEnd type="none"/>
        </a:ln>
      </xdr:spPr>
      <xdr:txBody>
        <a:bodyPr vertOverflow="clip" wrap="square" anchor="ctr"/>
        <a:p>
          <a:pPr algn="l">
            <a:defRPr/>
          </a:pPr>
          <a:r>
            <a:rPr lang="en-US" cap="none" sz="1200" b="1" i="0" u="sng" baseline="0">
              <a:solidFill>
                <a:srgbClr val="FF0000"/>
              </a:solidFill>
            </a:rPr>
            <a:t>セルの色別説明</a:t>
          </a:r>
        </a:p>
      </xdr:txBody>
    </xdr:sp>
    <xdr:clientData/>
  </xdr:twoCellAnchor>
  <xdr:oneCellAnchor>
    <xdr:from>
      <xdr:col>13</xdr:col>
      <xdr:colOff>66675</xdr:colOff>
      <xdr:row>27</xdr:row>
      <xdr:rowOff>161925</xdr:rowOff>
    </xdr:from>
    <xdr:ext cx="180975" cy="266700"/>
    <xdr:sp fLocksText="0">
      <xdr:nvSpPr>
        <xdr:cNvPr id="2" name="テキスト ボックス 2"/>
        <xdr:cNvSpPr txBox="1">
          <a:spLocks noChangeArrowheads="1"/>
        </xdr:cNvSpPr>
      </xdr:nvSpPr>
      <xdr:spPr>
        <a:xfrm>
          <a:off x="9782175" y="659130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47625</xdr:colOff>
      <xdr:row>1</xdr:row>
      <xdr:rowOff>0</xdr:rowOff>
    </xdr:from>
    <xdr:to>
      <xdr:col>13</xdr:col>
      <xdr:colOff>590550</xdr:colOff>
      <xdr:row>8</xdr:row>
      <xdr:rowOff>200025</xdr:rowOff>
    </xdr:to>
    <xdr:sp>
      <xdr:nvSpPr>
        <xdr:cNvPr id="3" name="下矢印吹き出し 3"/>
        <xdr:cNvSpPr>
          <a:spLocks/>
        </xdr:cNvSpPr>
      </xdr:nvSpPr>
      <xdr:spPr>
        <a:xfrm>
          <a:off x="7324725" y="238125"/>
          <a:ext cx="2981325" cy="1866900"/>
        </a:xfrm>
        <a:prstGeom prst="downArrowCallout">
          <a:avLst>
            <a:gd name="adj1" fmla="val 14976"/>
            <a:gd name="adj2" fmla="val -18587"/>
            <a:gd name="adj3" fmla="val 25000"/>
            <a:gd name="adj4" fmla="val -5236"/>
          </a:avLst>
        </a:prstGeom>
        <a:solidFill>
          <a:srgbClr val="DBEEF4"/>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0000"/>
              </a:solidFill>
            </a:rPr>
            <a:t>黄色の項目に情報を入力して下さい</a:t>
          </a:r>
          <a:r>
            <a:rPr lang="en-US" cap="none" sz="1600" b="0" i="0" u="none" baseline="0">
              <a:solidFill>
                <a:srgbClr val="FF0000"/>
              </a:solidFill>
              <a:latin typeface="Calibri"/>
              <a:ea typeface="Calibri"/>
              <a:cs typeface="Calibri"/>
            </a:rPr>
            <a:t>
</a:t>
          </a:r>
          <a:r>
            <a:rPr lang="en-US" cap="none" sz="1600" b="0" i="0" u="none" baseline="0">
              <a:solidFill>
                <a:srgbClr val="FF0000"/>
              </a:solidFill>
            </a:rPr>
            <a:t>ページ下部に簡単な説明があります</a:t>
          </a:r>
        </a:p>
      </xdr:txBody>
    </xdr:sp>
    <xdr:clientData/>
  </xdr:twoCellAnchor>
  <xdr:twoCellAnchor>
    <xdr:from>
      <xdr:col>9</xdr:col>
      <xdr:colOff>257175</xdr:colOff>
      <xdr:row>12</xdr:row>
      <xdr:rowOff>85725</xdr:rowOff>
    </xdr:from>
    <xdr:to>
      <xdr:col>11</xdr:col>
      <xdr:colOff>552450</xdr:colOff>
      <xdr:row>15</xdr:row>
      <xdr:rowOff>28575</xdr:rowOff>
    </xdr:to>
    <xdr:sp>
      <xdr:nvSpPr>
        <xdr:cNvPr id="4" name="円形吹き出し 4"/>
        <xdr:cNvSpPr>
          <a:spLocks/>
        </xdr:cNvSpPr>
      </xdr:nvSpPr>
      <xdr:spPr>
        <a:xfrm>
          <a:off x="7534275" y="2943225"/>
          <a:ext cx="1514475" cy="657225"/>
        </a:xfrm>
        <a:prstGeom prst="wedgeEllipseCallout">
          <a:avLst>
            <a:gd name="adj1" fmla="val -89935"/>
            <a:gd name="adj2" fmla="val -56421"/>
          </a:avLst>
        </a:prstGeom>
        <a:solidFill>
          <a:srgbClr val="FFFF99"/>
        </a:solidFill>
        <a:ln w="25400" cmpd="sng">
          <a:solidFill>
            <a:srgbClr val="385D8A"/>
          </a:solidFill>
          <a:headEnd type="none"/>
          <a:tailEnd type="none"/>
        </a:ln>
      </xdr:spPr>
      <xdr:txBody>
        <a:bodyPr vertOverflow="clip" wrap="square"/>
        <a:p>
          <a:pPr algn="l">
            <a:defRPr/>
          </a:pPr>
          <a:r>
            <a:rPr lang="en-US" cap="none" sz="1100" b="1" i="0" u="sng" baseline="0">
              <a:solidFill>
                <a:srgbClr val="FF0000"/>
              </a:solidFill>
            </a:rPr>
            <a:t>金額単位に注意</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79"/>
  <sheetViews>
    <sheetView tabSelected="1" zoomScalePageLayoutView="0" workbookViewId="0" topLeftCell="A1">
      <selection activeCell="F10" sqref="F10"/>
    </sheetView>
  </sheetViews>
  <sheetFormatPr defaultColWidth="9.140625" defaultRowHeight="15"/>
  <cols>
    <col min="1" max="1" width="12.28125" style="0" customWidth="1"/>
    <col min="2" max="2" width="11.140625" style="0" customWidth="1"/>
    <col min="3" max="3" width="8.00390625" style="0" customWidth="1"/>
    <col min="4" max="4" width="11.7109375" style="0" customWidth="1"/>
    <col min="5" max="5" width="16.421875" style="0" customWidth="1"/>
    <col min="6" max="6" width="11.7109375" style="0" customWidth="1"/>
    <col min="7" max="7" width="17.57421875" style="0" customWidth="1"/>
    <col min="8" max="8" width="11.140625" style="0" customWidth="1"/>
  </cols>
  <sheetData>
    <row r="1" spans="1:20" ht="18.75" customHeight="1" thickBot="1">
      <c r="A1" s="124" t="s">
        <v>0</v>
      </c>
      <c r="B1" s="125"/>
      <c r="C1" s="125"/>
      <c r="D1" s="125"/>
      <c r="E1" s="126"/>
      <c r="F1" s="14" t="s">
        <v>203</v>
      </c>
      <c r="G1" s="74"/>
      <c r="H1" s="75"/>
      <c r="I1" s="1"/>
      <c r="R1">
        <v>1980</v>
      </c>
      <c r="S1">
        <v>1</v>
      </c>
      <c r="T1">
        <f>E4/100*1100</f>
        <v>0</v>
      </c>
    </row>
    <row r="2" spans="1:20" ht="18.75" customHeight="1" thickBot="1">
      <c r="A2" s="127"/>
      <c r="B2" s="128"/>
      <c r="C2" s="128"/>
      <c r="D2" s="128"/>
      <c r="E2" s="129"/>
      <c r="F2" s="14" t="s">
        <v>25</v>
      </c>
      <c r="G2" s="76"/>
      <c r="H2" s="29" t="s">
        <v>28</v>
      </c>
      <c r="I2" s="76"/>
      <c r="R2">
        <v>1981</v>
      </c>
      <c r="S2">
        <v>2</v>
      </c>
      <c r="T2">
        <f>E4/100*2000</f>
        <v>0</v>
      </c>
    </row>
    <row r="3" spans="1:20" ht="18.75" customHeight="1" thickBot="1">
      <c r="A3" s="14" t="s">
        <v>3</v>
      </c>
      <c r="B3" s="69"/>
      <c r="C3" s="2" t="s">
        <v>4</v>
      </c>
      <c r="D3" s="15" t="s">
        <v>202</v>
      </c>
      <c r="E3" s="74"/>
      <c r="F3" s="75"/>
      <c r="G3" s="14" t="s">
        <v>1</v>
      </c>
      <c r="H3" s="67"/>
      <c r="I3" s="2" t="s">
        <v>2</v>
      </c>
      <c r="R3">
        <v>1982</v>
      </c>
      <c r="S3">
        <v>3</v>
      </c>
      <c r="T3">
        <f>E4/100*2900</f>
        <v>0</v>
      </c>
    </row>
    <row r="4" spans="1:20" ht="18.75" customHeight="1" thickBot="1">
      <c r="A4" s="14" t="s">
        <v>12</v>
      </c>
      <c r="B4" s="69"/>
      <c r="C4" s="2" t="s">
        <v>13</v>
      </c>
      <c r="D4" s="14" t="s">
        <v>24</v>
      </c>
      <c r="E4" s="67">
        <v>0</v>
      </c>
      <c r="F4" s="2" t="s">
        <v>26</v>
      </c>
      <c r="G4" s="14" t="s">
        <v>22</v>
      </c>
      <c r="H4" s="67"/>
      <c r="I4" s="2" t="s">
        <v>27</v>
      </c>
      <c r="R4">
        <v>1983</v>
      </c>
      <c r="S4">
        <v>4</v>
      </c>
      <c r="T4">
        <f>E4/100*3800</f>
        <v>0</v>
      </c>
    </row>
    <row r="5" spans="1:20" ht="18.75" customHeight="1" thickBot="1">
      <c r="A5" s="139" t="s">
        <v>214</v>
      </c>
      <c r="B5" s="140"/>
      <c r="C5" s="70" t="s">
        <v>247</v>
      </c>
      <c r="D5" s="27" t="s">
        <v>46</v>
      </c>
      <c r="E5" s="73">
        <f>IF(C5="有","要金額入力",B3*0.6*0.5)</f>
        <v>0</v>
      </c>
      <c r="F5" s="3" t="s">
        <v>26</v>
      </c>
      <c r="G5" s="14" t="s">
        <v>45</v>
      </c>
      <c r="H5" s="77">
        <f>IF(C5="有","要金額入力",B3*0.6*0.5)</f>
        <v>0</v>
      </c>
      <c r="I5" s="2" t="s">
        <v>26</v>
      </c>
      <c r="R5">
        <v>1984</v>
      </c>
      <c r="S5">
        <v>5</v>
      </c>
      <c r="T5">
        <f>E4/100*4600</f>
        <v>0</v>
      </c>
    </row>
    <row r="6" spans="1:20" ht="18.75" customHeight="1" thickBot="1">
      <c r="A6" s="137" t="s">
        <v>47</v>
      </c>
      <c r="B6" s="138"/>
      <c r="C6" s="71" t="s">
        <v>246</v>
      </c>
      <c r="D6" s="28" t="s">
        <v>44</v>
      </c>
      <c r="E6" s="72">
        <f>IF(G2="無",0,IF(AND(I2="無",C6="無"),1.05,IF(AND(I2="無",C6="有"),1.25,IF(AND(I2="有",C6="無"),1.9,IF(AND(I2="有",C6="有"),2.2,0)))))</f>
        <v>0</v>
      </c>
      <c r="F6" s="3" t="s">
        <v>48</v>
      </c>
      <c r="G6" s="139" t="s">
        <v>73</v>
      </c>
      <c r="H6" s="140"/>
      <c r="I6" s="76" t="s">
        <v>247</v>
      </c>
      <c r="R6">
        <v>1985</v>
      </c>
      <c r="S6">
        <v>6</v>
      </c>
      <c r="T6">
        <f>E4/100*5500</f>
        <v>0</v>
      </c>
    </row>
    <row r="7" spans="1:20" ht="18.75" customHeight="1" thickBot="1">
      <c r="A7" s="139" t="s">
        <v>210</v>
      </c>
      <c r="B7" s="201"/>
      <c r="C7" s="71" t="s">
        <v>247</v>
      </c>
      <c r="D7" s="139" t="s">
        <v>60</v>
      </c>
      <c r="E7" s="142"/>
      <c r="F7" s="86"/>
      <c r="G7" s="2" t="s">
        <v>4</v>
      </c>
      <c r="H7" s="83"/>
      <c r="I7" s="84"/>
      <c r="J7" s="24"/>
      <c r="R7">
        <v>1986</v>
      </c>
      <c r="S7">
        <v>7</v>
      </c>
      <c r="T7">
        <f>E4/100*6300</f>
        <v>0</v>
      </c>
    </row>
    <row r="8" spans="1:256" ht="18.75" customHeight="1" thickBot="1">
      <c r="A8" s="4"/>
      <c r="B8" s="4"/>
      <c r="C8" s="4"/>
      <c r="D8" s="4"/>
      <c r="E8" s="4"/>
      <c r="F8" s="4"/>
      <c r="G8" s="82"/>
      <c r="H8" s="82"/>
      <c r="I8" s="82"/>
      <c r="J8" s="4"/>
      <c r="K8" s="4"/>
      <c r="L8" s="4"/>
      <c r="M8" s="4"/>
      <c r="N8" s="4"/>
      <c r="O8" s="4"/>
      <c r="P8" s="4"/>
      <c r="Q8" s="4"/>
      <c r="R8">
        <v>1987</v>
      </c>
      <c r="S8">
        <v>8</v>
      </c>
      <c r="T8">
        <f>E4/100*7100</f>
        <v>0</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0" ht="18.75" customHeight="1" thickBot="1">
      <c r="A9" s="118" t="s">
        <v>49</v>
      </c>
      <c r="B9" s="119"/>
      <c r="C9" s="119"/>
      <c r="D9" s="119"/>
      <c r="E9" s="120"/>
      <c r="F9" s="4"/>
      <c r="G9" s="97" t="s">
        <v>50</v>
      </c>
      <c r="H9" s="98"/>
      <c r="I9" s="99"/>
      <c r="J9" s="80"/>
      <c r="R9">
        <v>1988</v>
      </c>
      <c r="S9">
        <v>9</v>
      </c>
      <c r="T9">
        <f>E4/100*7800</f>
        <v>0</v>
      </c>
    </row>
    <row r="10" spans="1:20" ht="18.75" customHeight="1" thickBot="1" thickTop="1">
      <c r="A10" s="100" t="s">
        <v>16</v>
      </c>
      <c r="B10" s="130"/>
      <c r="C10" s="101"/>
      <c r="D10" s="100" t="s">
        <v>18</v>
      </c>
      <c r="E10" s="101"/>
      <c r="G10" s="30" t="s">
        <v>29</v>
      </c>
      <c r="H10" s="100" t="s">
        <v>18</v>
      </c>
      <c r="I10" s="101"/>
      <c r="M10" s="94" t="s">
        <v>87</v>
      </c>
      <c r="N10" s="95"/>
      <c r="O10" s="96"/>
      <c r="R10">
        <v>1989</v>
      </c>
      <c r="S10">
        <v>10</v>
      </c>
      <c r="T10">
        <f>E4/100*8600</f>
        <v>0</v>
      </c>
    </row>
    <row r="11" spans="1:20" ht="18.75" customHeight="1" thickBot="1" thickTop="1">
      <c r="A11" s="131" t="s">
        <v>5</v>
      </c>
      <c r="B11" s="132"/>
      <c r="C11" s="133"/>
      <c r="D11" s="53">
        <f>B3</f>
        <v>0</v>
      </c>
      <c r="E11" s="7" t="s">
        <v>26</v>
      </c>
      <c r="G11" s="31" t="s">
        <v>30</v>
      </c>
      <c r="H11" s="59">
        <f>IF(OR(G2="",G2="無"),0,PMT(E6/12/100,H4*12,E4*10000))</f>
        <v>0</v>
      </c>
      <c r="I11" s="7" t="s">
        <v>43</v>
      </c>
      <c r="M11" s="50" t="s">
        <v>195</v>
      </c>
      <c r="N11" s="51" t="s">
        <v>196</v>
      </c>
      <c r="O11" s="52" t="s">
        <v>197</v>
      </c>
      <c r="R11">
        <v>1990</v>
      </c>
      <c r="S11">
        <v>11</v>
      </c>
      <c r="T11">
        <f>E4/100*9400</f>
        <v>0</v>
      </c>
    </row>
    <row r="12" spans="1:20" ht="18.75" customHeight="1">
      <c r="A12" s="134" t="s">
        <v>6</v>
      </c>
      <c r="B12" s="135"/>
      <c r="C12" s="136"/>
      <c r="D12" s="85">
        <f>IF(B3&lt;=200,B3*5%*1.08,IF(B3&lt;=400,(B3*4%+2)*1.08,IF(B3&gt;=401,(B3*3%+6)*1.08,0)))</f>
        <v>0</v>
      </c>
      <c r="E12" s="9" t="s">
        <v>26</v>
      </c>
      <c r="G12" s="32" t="s">
        <v>31</v>
      </c>
      <c r="H12" s="60"/>
      <c r="I12" s="8" t="s">
        <v>43</v>
      </c>
      <c r="M12" s="39" t="s">
        <v>88</v>
      </c>
      <c r="N12" s="38" t="s">
        <v>123</v>
      </c>
      <c r="O12" s="40" t="s">
        <v>193</v>
      </c>
      <c r="R12">
        <v>1991</v>
      </c>
      <c r="S12">
        <v>12</v>
      </c>
      <c r="T12">
        <f>E4/100*10100</f>
        <v>0</v>
      </c>
    </row>
    <row r="13" spans="1:20" ht="18.75" customHeight="1">
      <c r="A13" s="121" t="s">
        <v>7</v>
      </c>
      <c r="B13" s="122"/>
      <c r="C13" s="123"/>
      <c r="D13" s="54">
        <f>IF(OR(AND(E3&gt;=G1-24,H3&gt;=55),AND(E3=G1-25,F3&gt;H1,H3&gt;=55),I6="有"),H5*0.3%,H5*2%)</f>
        <v>0</v>
      </c>
      <c r="E13" s="8" t="s">
        <v>26</v>
      </c>
      <c r="G13" s="32" t="s">
        <v>32</v>
      </c>
      <c r="H13" s="60"/>
      <c r="I13" s="8" t="s">
        <v>43</v>
      </c>
      <c r="M13" s="41" t="s">
        <v>89</v>
      </c>
      <c r="N13" s="36" t="s">
        <v>124</v>
      </c>
      <c r="O13" s="42" t="s">
        <v>194</v>
      </c>
      <c r="R13">
        <v>1992</v>
      </c>
      <c r="S13">
        <v>13</v>
      </c>
      <c r="T13">
        <f>E4/100*10700</f>
        <v>0</v>
      </c>
    </row>
    <row r="14" spans="1:20" ht="18.75" customHeight="1" thickBot="1">
      <c r="A14" s="121" t="s">
        <v>8</v>
      </c>
      <c r="B14" s="122"/>
      <c r="C14" s="123"/>
      <c r="D14" s="54">
        <f>E5*1.5%</f>
        <v>0</v>
      </c>
      <c r="E14" s="8" t="s">
        <v>26</v>
      </c>
      <c r="G14" s="32" t="s">
        <v>33</v>
      </c>
      <c r="H14" s="60"/>
      <c r="I14" s="8" t="s">
        <v>43</v>
      </c>
      <c r="M14" s="43" t="s">
        <v>90</v>
      </c>
      <c r="N14" s="37" t="s">
        <v>125</v>
      </c>
      <c r="O14" s="44" t="s">
        <v>161</v>
      </c>
      <c r="R14">
        <v>1993</v>
      </c>
      <c r="S14">
        <v>14</v>
      </c>
      <c r="T14">
        <f>E4/100*11400</f>
        <v>0</v>
      </c>
    </row>
    <row r="15" spans="1:20" ht="18.75" customHeight="1">
      <c r="A15" s="121" t="s">
        <v>9</v>
      </c>
      <c r="B15" s="122"/>
      <c r="C15" s="123"/>
      <c r="D15" s="55">
        <v>10</v>
      </c>
      <c r="E15" s="8" t="s">
        <v>26</v>
      </c>
      <c r="G15" s="32" t="s">
        <v>37</v>
      </c>
      <c r="H15" s="61">
        <f>(H5*1.4%)/12*10000</f>
        <v>0</v>
      </c>
      <c r="I15" s="8" t="s">
        <v>43</v>
      </c>
      <c r="M15" s="45" t="s">
        <v>91</v>
      </c>
      <c r="N15" s="35" t="s">
        <v>126</v>
      </c>
      <c r="O15" s="46" t="s">
        <v>162</v>
      </c>
      <c r="R15">
        <v>1994</v>
      </c>
      <c r="S15">
        <v>15</v>
      </c>
      <c r="T15">
        <f>E4/100*12000</f>
        <v>0</v>
      </c>
    </row>
    <row r="16" spans="1:20" ht="18.75" customHeight="1">
      <c r="A16" s="121" t="s">
        <v>10</v>
      </c>
      <c r="B16" s="122"/>
      <c r="C16" s="123"/>
      <c r="D16" s="56">
        <f>IF(AND(E3&lt;=1981,H3&gt;=55,I6="有"),(H5-350)*3%,IF(OR(E3&lt;=1981,H3&lt;55),H5*3%,IF(AND(H3&gt;=55,E3&lt;=1985),(H5-420)*3%,IF(AND(H3&gt;=55,E3&lt;=1989),(H5-450)*3%,IF(AND(H3&gt;=55,E3&lt;=1997),(H5-1000)*3%,IF(AND(H3&gt;=55,1998&lt;=E3),(H5-1200)*3%,H5*3%))))))</f>
        <v>0</v>
      </c>
      <c r="E16" s="8" t="s">
        <v>26</v>
      </c>
      <c r="G16" s="32" t="s">
        <v>39</v>
      </c>
      <c r="H16" s="62">
        <f>IF(C7="有",0,(E5/6*1.4%/12*10000))</f>
        <v>0</v>
      </c>
      <c r="I16" s="8" t="s">
        <v>43</v>
      </c>
      <c r="M16" s="41" t="s">
        <v>92</v>
      </c>
      <c r="N16" s="36" t="s">
        <v>127</v>
      </c>
      <c r="O16" s="42" t="s">
        <v>163</v>
      </c>
      <c r="R16">
        <v>1995</v>
      </c>
      <c r="S16">
        <v>16</v>
      </c>
      <c r="T16">
        <f>E4/100*12600</f>
        <v>0</v>
      </c>
    </row>
    <row r="17" spans="1:20" ht="18.75" customHeight="1" thickBot="1">
      <c r="A17" s="121" t="s">
        <v>11</v>
      </c>
      <c r="B17" s="122"/>
      <c r="C17" s="123"/>
      <c r="D17" s="54">
        <f>IF(OR(AND(E3&lt;=1981,I6="無"),H3&lt;55),E5*0.5*3%,0)</f>
        <v>0</v>
      </c>
      <c r="E17" s="8" t="s">
        <v>26</v>
      </c>
      <c r="G17" s="32" t="s">
        <v>38</v>
      </c>
      <c r="H17" s="61">
        <f>(H5*0.3%)/12*10000</f>
        <v>0</v>
      </c>
      <c r="I17" s="8" t="s">
        <v>43</v>
      </c>
      <c r="M17" s="43" t="s">
        <v>93</v>
      </c>
      <c r="N17" s="37" t="s">
        <v>128</v>
      </c>
      <c r="O17" s="44" t="s">
        <v>164</v>
      </c>
      <c r="R17">
        <v>1996</v>
      </c>
      <c r="S17">
        <v>17</v>
      </c>
      <c r="T17">
        <f>E4/100*13200</f>
        <v>0</v>
      </c>
    </row>
    <row r="18" spans="1:20" ht="18.75" customHeight="1">
      <c r="A18" s="121" t="s">
        <v>205</v>
      </c>
      <c r="B18" s="122"/>
      <c r="C18" s="123"/>
      <c r="D18" s="57">
        <f>(H15+H17)*(12-H1)/10000</f>
        <v>0</v>
      </c>
      <c r="E18" s="8" t="s">
        <v>26</v>
      </c>
      <c r="G18" s="32" t="s">
        <v>40</v>
      </c>
      <c r="H18" s="61">
        <f>IF(C7="有",0,(E5/3*0.3%/12)*10000)</f>
        <v>0</v>
      </c>
      <c r="I18" s="8" t="s">
        <v>43</v>
      </c>
      <c r="K18" s="24"/>
      <c r="M18" s="45" t="s">
        <v>94</v>
      </c>
      <c r="N18" s="35" t="s">
        <v>129</v>
      </c>
      <c r="O18" s="46" t="s">
        <v>165</v>
      </c>
      <c r="R18">
        <v>1997</v>
      </c>
      <c r="S18">
        <v>18</v>
      </c>
      <c r="T18">
        <f>E4/100*13800</f>
        <v>0</v>
      </c>
    </row>
    <row r="19" spans="1:20" ht="18.75" customHeight="1">
      <c r="A19" s="121" t="s">
        <v>206</v>
      </c>
      <c r="B19" s="122"/>
      <c r="C19" s="123"/>
      <c r="D19" s="57">
        <f>IF(C7="無",(H16+H18)*(12-H1)/10000,0)</f>
        <v>0</v>
      </c>
      <c r="E19" s="8" t="s">
        <v>207</v>
      </c>
      <c r="G19" s="32" t="s">
        <v>208</v>
      </c>
      <c r="H19" s="63">
        <f>IF(C7="有","入力",0)</f>
        <v>0</v>
      </c>
      <c r="I19" s="8" t="s">
        <v>209</v>
      </c>
      <c r="K19" s="24"/>
      <c r="M19" s="41" t="s">
        <v>95</v>
      </c>
      <c r="N19" s="36" t="s">
        <v>130</v>
      </c>
      <c r="O19" s="42" t="s">
        <v>166</v>
      </c>
      <c r="R19">
        <v>1998</v>
      </c>
      <c r="S19">
        <v>19</v>
      </c>
      <c r="T19">
        <f>E4/100*14400</f>
        <v>0</v>
      </c>
    </row>
    <row r="20" spans="1:20" ht="18.75" customHeight="1" thickBot="1">
      <c r="A20" s="121" t="s">
        <v>15</v>
      </c>
      <c r="B20" s="122"/>
      <c r="C20" s="123"/>
      <c r="D20" s="54">
        <f>IF(B3&gt;=5001,3,IF(B3&gt;=1001,1,IF(B3&lt;=500,0.1,IF(B3="",0,0.5))))</f>
        <v>0.1</v>
      </c>
      <c r="E20" s="8" t="s">
        <v>26</v>
      </c>
      <c r="G20" s="33" t="s">
        <v>42</v>
      </c>
      <c r="H20" s="92" t="str">
        <f>IF(I2="有",3580*E4/100/12,"0")</f>
        <v>0</v>
      </c>
      <c r="I20" s="8" t="s">
        <v>43</v>
      </c>
      <c r="M20" s="43" t="s">
        <v>96</v>
      </c>
      <c r="N20" s="37" t="s">
        <v>131</v>
      </c>
      <c r="O20" s="44" t="s">
        <v>167</v>
      </c>
      <c r="R20">
        <v>1999</v>
      </c>
      <c r="S20">
        <v>20</v>
      </c>
      <c r="T20">
        <f>E4/100*14900</f>
        <v>0</v>
      </c>
    </row>
    <row r="21" spans="1:20" ht="18.75" customHeight="1">
      <c r="A21" s="121" t="s">
        <v>54</v>
      </c>
      <c r="B21" s="122"/>
      <c r="C21" s="123"/>
      <c r="D21" s="55">
        <f>B4+20</f>
        <v>20</v>
      </c>
      <c r="E21" s="8" t="s">
        <v>26</v>
      </c>
      <c r="G21" s="32" t="s">
        <v>34</v>
      </c>
      <c r="H21" s="55">
        <v>0</v>
      </c>
      <c r="I21" s="8" t="s">
        <v>43</v>
      </c>
      <c r="M21" s="45" t="s">
        <v>97</v>
      </c>
      <c r="N21" s="35" t="s">
        <v>198</v>
      </c>
      <c r="O21" s="46" t="s">
        <v>168</v>
      </c>
      <c r="R21">
        <v>2000</v>
      </c>
      <c r="S21">
        <v>21</v>
      </c>
      <c r="T21">
        <f>E4/100*15500</f>
        <v>0</v>
      </c>
    </row>
    <row r="22" spans="1:20" ht="18.75" customHeight="1">
      <c r="A22" s="121" t="s">
        <v>14</v>
      </c>
      <c r="B22" s="122"/>
      <c r="C22" s="123"/>
      <c r="D22" s="55">
        <v>20</v>
      </c>
      <c r="E22" s="8" t="s">
        <v>26</v>
      </c>
      <c r="G22" s="32" t="s">
        <v>35</v>
      </c>
      <c r="H22" s="55">
        <v>0</v>
      </c>
      <c r="I22" s="8" t="s">
        <v>43</v>
      </c>
      <c r="M22" s="41" t="s">
        <v>98</v>
      </c>
      <c r="N22" s="36" t="s">
        <v>132</v>
      </c>
      <c r="O22" s="42" t="s">
        <v>169</v>
      </c>
      <c r="R22">
        <v>2001</v>
      </c>
      <c r="S22">
        <v>22</v>
      </c>
      <c r="T22">
        <f>E4/100*16000</f>
        <v>0</v>
      </c>
    </row>
    <row r="23" spans="1:20" ht="18.75" customHeight="1" thickBot="1">
      <c r="A23" s="100" t="s">
        <v>55</v>
      </c>
      <c r="B23" s="130"/>
      <c r="C23" s="101"/>
      <c r="D23" s="58">
        <v>0</v>
      </c>
      <c r="E23" s="6" t="s">
        <v>26</v>
      </c>
      <c r="G23" s="30" t="s">
        <v>36</v>
      </c>
      <c r="H23" s="58">
        <v>0</v>
      </c>
      <c r="I23" s="6" t="s">
        <v>43</v>
      </c>
      <c r="M23" s="43" t="s">
        <v>99</v>
      </c>
      <c r="N23" s="37" t="s">
        <v>133</v>
      </c>
      <c r="O23" s="44" t="s">
        <v>170</v>
      </c>
      <c r="R23">
        <v>2002</v>
      </c>
      <c r="S23">
        <v>23</v>
      </c>
      <c r="T23">
        <f>E4/100*16400</f>
        <v>0</v>
      </c>
    </row>
    <row r="24" spans="1:20" ht="18.75" customHeight="1">
      <c r="A24" s="110" t="s">
        <v>19</v>
      </c>
      <c r="B24" s="111"/>
      <c r="C24" s="112"/>
      <c r="D24" s="116">
        <f>SUM(D11:D23)</f>
        <v>50.1</v>
      </c>
      <c r="E24" s="102" t="s">
        <v>26</v>
      </c>
      <c r="G24" s="106" t="s">
        <v>19</v>
      </c>
      <c r="H24" s="108">
        <f>H12+H13+H14+H15+H16+H17+H18+H20+H21+H22+H23-H11</f>
        <v>0</v>
      </c>
      <c r="I24" s="102" t="s">
        <v>43</v>
      </c>
      <c r="M24" s="45" t="s">
        <v>100</v>
      </c>
      <c r="N24" s="35" t="s">
        <v>134</v>
      </c>
      <c r="O24" s="46" t="s">
        <v>171</v>
      </c>
      <c r="R24">
        <v>2003</v>
      </c>
      <c r="S24">
        <v>24</v>
      </c>
      <c r="T24">
        <f>E4/100*16900</f>
        <v>0</v>
      </c>
    </row>
    <row r="25" spans="1:20" ht="18.75" customHeight="1" thickBot="1">
      <c r="A25" s="113"/>
      <c r="B25" s="114"/>
      <c r="C25" s="115"/>
      <c r="D25" s="117"/>
      <c r="E25" s="103"/>
      <c r="G25" s="107"/>
      <c r="H25" s="109"/>
      <c r="I25" s="103"/>
      <c r="M25" s="41" t="s">
        <v>101</v>
      </c>
      <c r="N25" s="36" t="s">
        <v>135</v>
      </c>
      <c r="O25" s="42" t="s">
        <v>172</v>
      </c>
      <c r="R25">
        <v>2004</v>
      </c>
      <c r="S25">
        <v>25</v>
      </c>
      <c r="T25">
        <f>E4/100*17300</f>
        <v>0</v>
      </c>
    </row>
    <row r="26" spans="13:20" ht="18.75" customHeight="1" thickBot="1">
      <c r="M26" s="43" t="s">
        <v>102</v>
      </c>
      <c r="N26" s="37" t="s">
        <v>136</v>
      </c>
      <c r="O26" s="44" t="s">
        <v>173</v>
      </c>
      <c r="R26">
        <v>2005</v>
      </c>
      <c r="S26">
        <v>26</v>
      </c>
      <c r="T26">
        <f>E4/100*17700</f>
        <v>0</v>
      </c>
    </row>
    <row r="27" spans="1:20" ht="18.75" customHeight="1" thickBot="1">
      <c r="A27" s="97" t="s">
        <v>51</v>
      </c>
      <c r="B27" s="104"/>
      <c r="C27" s="104"/>
      <c r="D27" s="104"/>
      <c r="E27" s="105"/>
      <c r="G27" s="10" t="s">
        <v>53</v>
      </c>
      <c r="H27" s="20">
        <f>D24+D35</f>
        <v>55.1</v>
      </c>
      <c r="I27" s="19" t="s">
        <v>26</v>
      </c>
      <c r="M27" s="45" t="s">
        <v>103</v>
      </c>
      <c r="N27" s="35" t="s">
        <v>137</v>
      </c>
      <c r="O27" s="46" t="s">
        <v>174</v>
      </c>
      <c r="R27">
        <v>2006</v>
      </c>
      <c r="S27">
        <v>27</v>
      </c>
      <c r="T27">
        <f>E4/100*18100</f>
        <v>0</v>
      </c>
    </row>
    <row r="28" spans="1:20" ht="18.75" customHeight="1" thickBot="1" thickTop="1">
      <c r="A28" s="100" t="s">
        <v>17</v>
      </c>
      <c r="B28" s="130"/>
      <c r="C28" s="101"/>
      <c r="D28" s="100" t="s">
        <v>18</v>
      </c>
      <c r="E28" s="101"/>
      <c r="G28" s="14" t="s">
        <v>82</v>
      </c>
      <c r="H28" s="65">
        <f>SUM(D12:D23,D29:D34)</f>
        <v>55.1</v>
      </c>
      <c r="I28" s="18" t="s">
        <v>4</v>
      </c>
      <c r="M28" s="41" t="s">
        <v>104</v>
      </c>
      <c r="N28" s="36" t="s">
        <v>138</v>
      </c>
      <c r="O28" s="42" t="s">
        <v>175</v>
      </c>
      <c r="R28">
        <v>2007</v>
      </c>
      <c r="S28">
        <v>28</v>
      </c>
      <c r="T28">
        <f>E4/100*18500</f>
        <v>0</v>
      </c>
    </row>
    <row r="29" spans="1:20" ht="18.75" customHeight="1" thickBot="1">
      <c r="A29" s="131" t="s">
        <v>20</v>
      </c>
      <c r="B29" s="132"/>
      <c r="C29" s="133"/>
      <c r="D29" s="64">
        <f>IF(AND(G2="有",I2="無"),3.15,IF(AND(G2="有",I2="有",C6="無"),E4*2.1%,IF(AND(G2="有",I2="有",C6="有"),5.25,0)))</f>
        <v>0</v>
      </c>
      <c r="E29" s="7" t="s">
        <v>26</v>
      </c>
      <c r="G29" s="14" t="s">
        <v>83</v>
      </c>
      <c r="H29" s="66">
        <f>H27-E4</f>
        <v>55.1</v>
      </c>
      <c r="I29" s="18" t="s">
        <v>4</v>
      </c>
      <c r="M29" s="43" t="s">
        <v>105</v>
      </c>
      <c r="N29" s="37" t="s">
        <v>139</v>
      </c>
      <c r="O29" s="44" t="s">
        <v>176</v>
      </c>
      <c r="R29">
        <v>2008</v>
      </c>
      <c r="S29">
        <v>29</v>
      </c>
      <c r="T29">
        <f>E4/100*18900</f>
        <v>0</v>
      </c>
    </row>
    <row r="30" spans="1:20" ht="18.75" customHeight="1">
      <c r="A30" s="121" t="s">
        <v>21</v>
      </c>
      <c r="B30" s="122"/>
      <c r="C30" s="123"/>
      <c r="D30" s="54">
        <f>IF(OR(E4="",E4=0),0,IF(E4&lt;=500,0.2,IF(E4&lt;=1000,1,IF(E4&lt;=5000,2,IF(E4&gt;5000,6,0)))))</f>
        <v>0</v>
      </c>
      <c r="E30" s="9" t="s">
        <v>26</v>
      </c>
      <c r="G30" s="131" t="s">
        <v>59</v>
      </c>
      <c r="H30" s="132"/>
      <c r="I30" s="133"/>
      <c r="J30" s="80"/>
      <c r="K30">
        <f>IF(AND(OR(I6="有",OR(E3&gt;=G1-24,AND(G1-25,F3&gt;H1))),H3&gt;=55,H4&gt;=10),MIN(40,E7,E4*1%),0)</f>
        <v>0</v>
      </c>
      <c r="M30" s="45" t="s">
        <v>106</v>
      </c>
      <c r="N30" s="35" t="s">
        <v>140</v>
      </c>
      <c r="O30" s="46" t="s">
        <v>177</v>
      </c>
      <c r="R30">
        <v>2009</v>
      </c>
      <c r="S30">
        <v>30</v>
      </c>
      <c r="T30">
        <f>E4/100*19200</f>
        <v>0</v>
      </c>
    </row>
    <row r="31" spans="1:20" ht="18.75" customHeight="1" thickBot="1">
      <c r="A31" s="121" t="s">
        <v>41</v>
      </c>
      <c r="B31" s="122"/>
      <c r="C31" s="123"/>
      <c r="D31" s="91">
        <f>IF(AND(C6="無",I2="無",G2="有"),VLOOKUP(H4,S1:T35,2)/10000,0)</f>
        <v>0</v>
      </c>
      <c r="E31" s="8" t="s">
        <v>26</v>
      </c>
      <c r="G31" s="16" t="s">
        <v>201</v>
      </c>
      <c r="H31" s="68">
        <f>IF(AND(OR(I6="有",E3&gt;=G1-24,AND(G1-25=E3,F3&gt;H1)),H3&gt;=55,H4&gt;=10),MIN(40,E7,E4*1%),0)</f>
        <v>0</v>
      </c>
      <c r="I31" s="6" t="s">
        <v>4</v>
      </c>
      <c r="M31" s="41" t="s">
        <v>107</v>
      </c>
      <c r="N31" s="36" t="s">
        <v>141</v>
      </c>
      <c r="O31" s="42" t="s">
        <v>178</v>
      </c>
      <c r="R31">
        <v>2010</v>
      </c>
      <c r="S31">
        <v>31</v>
      </c>
      <c r="T31">
        <f>E4/100*19500</f>
        <v>0</v>
      </c>
    </row>
    <row r="32" spans="1:20" ht="18.75" customHeight="1" thickBot="1">
      <c r="A32" s="121" t="s">
        <v>23</v>
      </c>
      <c r="B32" s="122"/>
      <c r="C32" s="123"/>
      <c r="D32" s="54">
        <f>IF(OR(AND(E3&gt;=G1-24,H3&gt;=55),AND(E3=G1-25,F3&gt;H1,H3&gt;=55),I6="有"),E4*0.1%,E4*0.4%)</f>
        <v>0</v>
      </c>
      <c r="E32" s="8" t="s">
        <v>26</v>
      </c>
      <c r="G32" s="78"/>
      <c r="H32" s="81"/>
      <c r="I32" s="79"/>
      <c r="J32" s="24"/>
      <c r="M32" s="43" t="s">
        <v>108</v>
      </c>
      <c r="N32" s="37" t="s">
        <v>142</v>
      </c>
      <c r="O32" s="44" t="s">
        <v>179</v>
      </c>
      <c r="R32">
        <v>2011</v>
      </c>
      <c r="S32">
        <v>32</v>
      </c>
      <c r="T32">
        <f>E4/100*19800</f>
        <v>0</v>
      </c>
    </row>
    <row r="33" spans="1:20" ht="18.75" customHeight="1" thickBot="1">
      <c r="A33" s="121" t="s">
        <v>9</v>
      </c>
      <c r="B33" s="122"/>
      <c r="C33" s="123"/>
      <c r="D33" s="55">
        <v>5</v>
      </c>
      <c r="E33" s="8" t="s">
        <v>26</v>
      </c>
      <c r="G33" s="139" t="s">
        <v>58</v>
      </c>
      <c r="H33" s="142"/>
      <c r="I33" s="143"/>
      <c r="M33" s="45" t="s">
        <v>109</v>
      </c>
      <c r="N33" s="35" t="s">
        <v>143</v>
      </c>
      <c r="O33" s="46" t="s">
        <v>180</v>
      </c>
      <c r="R33">
        <v>2012</v>
      </c>
      <c r="S33">
        <v>33</v>
      </c>
      <c r="T33">
        <f>E4/100*20100</f>
        <v>0</v>
      </c>
    </row>
    <row r="34" spans="1:20" ht="18.75" customHeight="1" thickBot="1">
      <c r="A34" s="100" t="s">
        <v>199</v>
      </c>
      <c r="B34" s="130"/>
      <c r="C34" s="101"/>
      <c r="D34" s="58">
        <f>IF(AND(I2="有"),8,0)</f>
        <v>0</v>
      </c>
      <c r="E34" s="6" t="s">
        <v>26</v>
      </c>
      <c r="G34" s="100" t="s">
        <v>56</v>
      </c>
      <c r="H34" s="165"/>
      <c r="I34" s="13"/>
      <c r="M34" s="41" t="s">
        <v>110</v>
      </c>
      <c r="N34" s="36" t="s">
        <v>144</v>
      </c>
      <c r="O34" s="42" t="s">
        <v>181</v>
      </c>
      <c r="R34">
        <v>2013</v>
      </c>
      <c r="S34">
        <v>34</v>
      </c>
      <c r="T34">
        <f>E4/100*20400</f>
        <v>0</v>
      </c>
    </row>
    <row r="35" spans="1:20" ht="18.75" customHeight="1" thickBot="1">
      <c r="A35" s="110" t="s">
        <v>19</v>
      </c>
      <c r="B35" s="111"/>
      <c r="C35" s="112"/>
      <c r="D35" s="163">
        <f>SUM(D29:D34)</f>
        <v>5</v>
      </c>
      <c r="E35" s="102" t="s">
        <v>52</v>
      </c>
      <c r="G35" s="139" t="s">
        <v>57</v>
      </c>
      <c r="H35" s="140"/>
      <c r="I35" s="11"/>
      <c r="M35" s="43" t="s">
        <v>111</v>
      </c>
      <c r="N35" s="37" t="s">
        <v>145</v>
      </c>
      <c r="O35" s="44" t="s">
        <v>182</v>
      </c>
      <c r="R35">
        <v>2014</v>
      </c>
      <c r="S35">
        <v>35</v>
      </c>
      <c r="T35">
        <f>E4/100*20700</f>
        <v>0</v>
      </c>
    </row>
    <row r="36" spans="1:18" ht="18.75" customHeight="1" thickBot="1">
      <c r="A36" s="113"/>
      <c r="B36" s="114"/>
      <c r="C36" s="115"/>
      <c r="D36" s="164"/>
      <c r="E36" s="103"/>
      <c r="G36" s="139" t="s">
        <v>242</v>
      </c>
      <c r="H36" s="140"/>
      <c r="I36" s="12"/>
      <c r="M36" s="45" t="s">
        <v>112</v>
      </c>
      <c r="N36" s="35" t="s">
        <v>146</v>
      </c>
      <c r="O36" s="46" t="s">
        <v>183</v>
      </c>
      <c r="R36">
        <v>2015</v>
      </c>
    </row>
    <row r="37" spans="1:15" ht="13.5" thickBot="1">
      <c r="A37" s="141"/>
      <c r="B37" s="141"/>
      <c r="C37" s="141"/>
      <c r="M37" s="41" t="s">
        <v>113</v>
      </c>
      <c r="N37" s="36" t="s">
        <v>147</v>
      </c>
      <c r="O37" s="42" t="s">
        <v>184</v>
      </c>
    </row>
    <row r="38" spans="1:15" ht="13.5" thickBot="1">
      <c r="A38" s="148" t="s">
        <v>61</v>
      </c>
      <c r="B38" s="149"/>
      <c r="C38" s="149"/>
      <c r="D38" s="149"/>
      <c r="E38" s="149"/>
      <c r="F38" s="149"/>
      <c r="G38" s="149"/>
      <c r="H38" s="149"/>
      <c r="I38" s="150"/>
      <c r="M38" s="43" t="s">
        <v>114</v>
      </c>
      <c r="N38" s="37" t="s">
        <v>148</v>
      </c>
      <c r="O38" s="44" t="s">
        <v>185</v>
      </c>
    </row>
    <row r="39" spans="1:15" ht="13.5" thickBot="1">
      <c r="A39" s="151"/>
      <c r="B39" s="152"/>
      <c r="C39" s="152"/>
      <c r="D39" s="152"/>
      <c r="E39" s="152"/>
      <c r="F39" s="152"/>
      <c r="G39" s="152"/>
      <c r="H39" s="152"/>
      <c r="I39" s="153"/>
      <c r="M39" s="45" t="s">
        <v>115</v>
      </c>
      <c r="N39" s="35" t="s">
        <v>149</v>
      </c>
      <c r="O39" s="46" t="s">
        <v>186</v>
      </c>
    </row>
    <row r="40" spans="1:15" ht="13.5" thickTop="1">
      <c r="A40" s="154" t="s">
        <v>243</v>
      </c>
      <c r="B40" s="155"/>
      <c r="C40" s="155"/>
      <c r="D40" s="155"/>
      <c r="E40" s="155"/>
      <c r="F40" s="155"/>
      <c r="G40" s="155"/>
      <c r="H40" s="155"/>
      <c r="I40" s="156"/>
      <c r="M40" s="41" t="s">
        <v>116</v>
      </c>
      <c r="N40" s="36" t="s">
        <v>150</v>
      </c>
      <c r="O40" s="42" t="s">
        <v>187</v>
      </c>
    </row>
    <row r="41" spans="1:15" ht="13.5" thickBot="1">
      <c r="A41" s="157" t="s">
        <v>244</v>
      </c>
      <c r="B41" s="158"/>
      <c r="C41" s="158"/>
      <c r="D41" s="158"/>
      <c r="E41" s="158"/>
      <c r="F41" s="158"/>
      <c r="G41" s="158"/>
      <c r="H41" s="158"/>
      <c r="I41" s="159"/>
      <c r="M41" s="43" t="s">
        <v>117</v>
      </c>
      <c r="N41" s="37" t="s">
        <v>151</v>
      </c>
      <c r="O41" s="44" t="s">
        <v>188</v>
      </c>
    </row>
    <row r="42" spans="1:15" ht="12.75">
      <c r="A42" s="157" t="s">
        <v>62</v>
      </c>
      <c r="B42" s="158"/>
      <c r="C42" s="158"/>
      <c r="D42" s="158"/>
      <c r="E42" s="158"/>
      <c r="F42" s="158"/>
      <c r="G42" s="158"/>
      <c r="H42" s="158"/>
      <c r="I42" s="159"/>
      <c r="M42" s="45" t="s">
        <v>118</v>
      </c>
      <c r="N42" s="35" t="s">
        <v>152</v>
      </c>
      <c r="O42" s="46" t="s">
        <v>189</v>
      </c>
    </row>
    <row r="43" spans="1:15" ht="12.75">
      <c r="A43" s="157" t="s">
        <v>245</v>
      </c>
      <c r="B43" s="158"/>
      <c r="C43" s="158"/>
      <c r="D43" s="158"/>
      <c r="E43" s="158"/>
      <c r="F43" s="158"/>
      <c r="G43" s="158"/>
      <c r="H43" s="158"/>
      <c r="I43" s="159"/>
      <c r="M43" s="41" t="s">
        <v>119</v>
      </c>
      <c r="N43" s="36" t="s">
        <v>153</v>
      </c>
      <c r="O43" s="42" t="s">
        <v>190</v>
      </c>
    </row>
    <row r="44" spans="1:15" ht="13.5" thickBot="1">
      <c r="A44" s="157" t="s">
        <v>241</v>
      </c>
      <c r="B44" s="158"/>
      <c r="C44" s="158"/>
      <c r="D44" s="158"/>
      <c r="E44" s="158"/>
      <c r="F44" s="158"/>
      <c r="G44" s="158"/>
      <c r="H44" s="158"/>
      <c r="I44" s="159"/>
      <c r="M44" s="43" t="s">
        <v>120</v>
      </c>
      <c r="N44" s="37" t="s">
        <v>154</v>
      </c>
      <c r="O44" s="44" t="s">
        <v>191</v>
      </c>
    </row>
    <row r="45" spans="1:15" ht="16.5" customHeight="1" thickBot="1">
      <c r="A45" s="160" t="s">
        <v>240</v>
      </c>
      <c r="B45" s="161"/>
      <c r="C45" s="161"/>
      <c r="D45" s="161"/>
      <c r="E45" s="161"/>
      <c r="F45" s="161"/>
      <c r="G45" s="161"/>
      <c r="H45" s="161"/>
      <c r="I45" s="162"/>
      <c r="M45" s="45" t="s">
        <v>121</v>
      </c>
      <c r="N45" s="35" t="s">
        <v>155</v>
      </c>
      <c r="O45" s="46" t="s">
        <v>160</v>
      </c>
    </row>
    <row r="46" spans="1:15" ht="18.75" customHeight="1" thickBot="1">
      <c r="A46" s="147"/>
      <c r="B46" s="147"/>
      <c r="C46" s="147"/>
      <c r="D46" s="147"/>
      <c r="E46" s="147"/>
      <c r="F46" s="147"/>
      <c r="G46" s="147"/>
      <c r="H46" s="147"/>
      <c r="I46" s="147"/>
      <c r="K46" s="24"/>
      <c r="L46" s="24"/>
      <c r="M46" s="47" t="s">
        <v>122</v>
      </c>
      <c r="N46" s="48" t="s">
        <v>156</v>
      </c>
      <c r="O46" s="49" t="s">
        <v>192</v>
      </c>
    </row>
    <row r="47" spans="1:15" ht="17.25" thickBot="1" thickTop="1">
      <c r="A47" s="144" t="s">
        <v>86</v>
      </c>
      <c r="B47" s="145"/>
      <c r="C47" s="145"/>
      <c r="D47" s="145"/>
      <c r="E47" s="145"/>
      <c r="F47" s="145"/>
      <c r="G47" s="145"/>
      <c r="H47" s="145"/>
      <c r="I47" s="146"/>
      <c r="O47" s="34"/>
    </row>
    <row r="48" spans="1:9" ht="17.25" customHeight="1" thickBot="1" thickTop="1">
      <c r="A48" s="178" t="s">
        <v>204</v>
      </c>
      <c r="B48" s="179"/>
      <c r="C48" s="180" t="s">
        <v>211</v>
      </c>
      <c r="D48" s="176"/>
      <c r="E48" s="177"/>
      <c r="F48" s="87" t="s">
        <v>63</v>
      </c>
      <c r="G48" s="176" t="s">
        <v>157</v>
      </c>
      <c r="H48" s="176"/>
      <c r="I48" s="177"/>
    </row>
    <row r="49" spans="1:9" ht="17.25" customHeight="1" thickBot="1">
      <c r="A49" s="169" t="s">
        <v>25</v>
      </c>
      <c r="B49" s="170"/>
      <c r="C49" s="166" t="s">
        <v>68</v>
      </c>
      <c r="D49" s="167"/>
      <c r="E49" s="168"/>
      <c r="F49" s="88" t="s">
        <v>64</v>
      </c>
      <c r="G49" s="167" t="s">
        <v>158</v>
      </c>
      <c r="H49" s="167"/>
      <c r="I49" s="168"/>
    </row>
    <row r="50" spans="1:9" ht="17.25" customHeight="1" thickBot="1">
      <c r="A50" s="169" t="s">
        <v>28</v>
      </c>
      <c r="B50" s="170"/>
      <c r="C50" s="166" t="s">
        <v>221</v>
      </c>
      <c r="D50" s="167"/>
      <c r="E50" s="168"/>
      <c r="F50" s="89" t="s">
        <v>65</v>
      </c>
      <c r="G50" s="166" t="s">
        <v>66</v>
      </c>
      <c r="H50" s="167"/>
      <c r="I50" s="168"/>
    </row>
    <row r="51" spans="1:9" ht="17.25" customHeight="1" thickBot="1">
      <c r="A51" s="169" t="s">
        <v>12</v>
      </c>
      <c r="B51" s="170"/>
      <c r="C51" s="166" t="s">
        <v>212</v>
      </c>
      <c r="D51" s="167"/>
      <c r="E51" s="168"/>
      <c r="F51" s="89" t="s">
        <v>67</v>
      </c>
      <c r="G51" s="166" t="s">
        <v>71</v>
      </c>
      <c r="H51" s="167"/>
      <c r="I51" s="168"/>
    </row>
    <row r="52" spans="1:9" ht="17.25" customHeight="1" thickBot="1">
      <c r="A52" s="171" t="s">
        <v>215</v>
      </c>
      <c r="B52" s="172"/>
      <c r="C52" s="173" t="s">
        <v>213</v>
      </c>
      <c r="D52" s="174"/>
      <c r="E52" s="175"/>
      <c r="F52" s="90" t="s">
        <v>70</v>
      </c>
      <c r="G52" s="166" t="s">
        <v>69</v>
      </c>
      <c r="H52" s="167"/>
      <c r="I52" s="168"/>
    </row>
    <row r="53" spans="1:9" ht="17.25" customHeight="1" thickBot="1">
      <c r="A53" s="169" t="s">
        <v>217</v>
      </c>
      <c r="B53" s="170"/>
      <c r="C53" s="166" t="s">
        <v>216</v>
      </c>
      <c r="D53" s="167"/>
      <c r="E53" s="167"/>
      <c r="F53" s="167"/>
      <c r="G53" s="167"/>
      <c r="H53" s="167"/>
      <c r="I53" s="168"/>
    </row>
    <row r="54" spans="1:9" ht="17.25" customHeight="1" thickBot="1">
      <c r="A54" s="169" t="s">
        <v>218</v>
      </c>
      <c r="B54" s="170"/>
      <c r="C54" s="166" t="s">
        <v>219</v>
      </c>
      <c r="D54" s="167"/>
      <c r="E54" s="167"/>
      <c r="F54" s="167"/>
      <c r="G54" s="167"/>
      <c r="H54" s="167"/>
      <c r="I54" s="168"/>
    </row>
    <row r="55" spans="1:9" ht="17.25" customHeight="1" thickBot="1">
      <c r="A55" s="181" t="s">
        <v>47</v>
      </c>
      <c r="B55" s="182"/>
      <c r="C55" s="166" t="s">
        <v>220</v>
      </c>
      <c r="D55" s="167"/>
      <c r="E55" s="167"/>
      <c r="F55" s="167"/>
      <c r="G55" s="167"/>
      <c r="H55" s="167"/>
      <c r="I55" s="168"/>
    </row>
    <row r="56" spans="1:9" ht="17.25" customHeight="1" thickBot="1">
      <c r="A56" s="181" t="s">
        <v>222</v>
      </c>
      <c r="B56" s="182"/>
      <c r="C56" s="166" t="s">
        <v>223</v>
      </c>
      <c r="D56" s="167"/>
      <c r="E56" s="167"/>
      <c r="F56" s="167"/>
      <c r="G56" s="167"/>
      <c r="H56" s="167"/>
      <c r="I56" s="168"/>
    </row>
    <row r="57" spans="1:9" ht="17.25" customHeight="1" thickBot="1">
      <c r="A57" s="169" t="s">
        <v>72</v>
      </c>
      <c r="B57" s="170"/>
      <c r="C57" s="173" t="s">
        <v>159</v>
      </c>
      <c r="D57" s="167"/>
      <c r="E57" s="167"/>
      <c r="F57" s="167"/>
      <c r="G57" s="167"/>
      <c r="H57" s="167"/>
      <c r="I57" s="168"/>
    </row>
    <row r="58" spans="1:9" ht="17.25" customHeight="1" thickBot="1">
      <c r="A58" s="169" t="s">
        <v>210</v>
      </c>
      <c r="B58" s="170"/>
      <c r="C58" s="173" t="s">
        <v>224</v>
      </c>
      <c r="D58" s="167"/>
      <c r="E58" s="167"/>
      <c r="F58" s="167"/>
      <c r="G58" s="167"/>
      <c r="H58" s="167"/>
      <c r="I58" s="168"/>
    </row>
    <row r="59" spans="1:10" ht="18" customHeight="1" thickBot="1">
      <c r="A59" s="169" t="s">
        <v>225</v>
      </c>
      <c r="B59" s="170"/>
      <c r="C59" s="173" t="s">
        <v>226</v>
      </c>
      <c r="D59" s="167"/>
      <c r="E59" s="167"/>
      <c r="F59" s="167"/>
      <c r="G59" s="167"/>
      <c r="H59" s="167"/>
      <c r="I59" s="168"/>
      <c r="J59" s="24"/>
    </row>
    <row r="60" spans="1:9" ht="17.25" customHeight="1" thickBot="1">
      <c r="A60" s="26"/>
      <c r="B60" s="5"/>
      <c r="C60" s="21"/>
      <c r="D60" s="17"/>
      <c r="E60" s="17"/>
      <c r="F60" s="17"/>
      <c r="G60" s="17"/>
      <c r="H60" s="17"/>
      <c r="I60" s="17"/>
    </row>
    <row r="61" spans="1:9" ht="15" thickBot="1">
      <c r="A61" s="183" t="s">
        <v>84</v>
      </c>
      <c r="B61" s="184"/>
      <c r="C61" s="184"/>
      <c r="D61" s="184"/>
      <c r="E61" s="184"/>
      <c r="F61" s="184"/>
      <c r="G61" s="184"/>
      <c r="H61" s="184"/>
      <c r="I61" s="185"/>
    </row>
    <row r="62" spans="1:9" ht="14.25" thickBot="1" thickTop="1">
      <c r="A62" s="178" t="s">
        <v>6</v>
      </c>
      <c r="B62" s="179"/>
      <c r="C62" s="180" t="s">
        <v>74</v>
      </c>
      <c r="D62" s="176"/>
      <c r="E62" s="176"/>
      <c r="F62" s="176"/>
      <c r="G62" s="176"/>
      <c r="H62" s="176"/>
      <c r="I62" s="177"/>
    </row>
    <row r="63" spans="1:9" ht="13.5" thickBot="1">
      <c r="A63" s="169" t="s">
        <v>9</v>
      </c>
      <c r="B63" s="170"/>
      <c r="C63" s="166" t="s">
        <v>75</v>
      </c>
      <c r="D63" s="167"/>
      <c r="E63" s="167"/>
      <c r="F63" s="167"/>
      <c r="G63" s="167"/>
      <c r="H63" s="167"/>
      <c r="I63" s="168"/>
    </row>
    <row r="64" spans="1:9" ht="13.5" thickBot="1">
      <c r="A64" s="169" t="s">
        <v>230</v>
      </c>
      <c r="B64" s="170"/>
      <c r="C64" s="200" t="s">
        <v>239</v>
      </c>
      <c r="D64" s="167"/>
      <c r="E64" s="167"/>
      <c r="F64" s="167"/>
      <c r="G64" s="167"/>
      <c r="H64" s="167"/>
      <c r="I64" s="168"/>
    </row>
    <row r="65" spans="1:9" ht="13.5" thickBot="1">
      <c r="A65" s="181" t="s">
        <v>54</v>
      </c>
      <c r="B65" s="182"/>
      <c r="C65" s="166" t="s">
        <v>227</v>
      </c>
      <c r="D65" s="167"/>
      <c r="E65" s="167"/>
      <c r="F65" s="167"/>
      <c r="G65" s="167"/>
      <c r="H65" s="167"/>
      <c r="I65" s="168"/>
    </row>
    <row r="66" spans="1:9" ht="13.5" thickBot="1">
      <c r="A66" s="169" t="s">
        <v>76</v>
      </c>
      <c r="B66" s="170"/>
      <c r="C66" s="166" t="s">
        <v>228</v>
      </c>
      <c r="D66" s="167"/>
      <c r="E66" s="167"/>
      <c r="F66" s="167"/>
      <c r="G66" s="167"/>
      <c r="H66" s="167"/>
      <c r="I66" s="168"/>
    </row>
    <row r="67" spans="1:10" ht="11.25" customHeight="1" thickBot="1">
      <c r="A67" s="169" t="s">
        <v>55</v>
      </c>
      <c r="B67" s="170"/>
      <c r="C67" s="166" t="s">
        <v>229</v>
      </c>
      <c r="D67" s="167"/>
      <c r="E67" s="167"/>
      <c r="F67" s="167"/>
      <c r="G67" s="167"/>
      <c r="H67" s="167"/>
      <c r="I67" s="168"/>
      <c r="J67" s="24"/>
    </row>
    <row r="68" spans="1:9" ht="13.5" thickBot="1">
      <c r="A68" s="26"/>
      <c r="B68" s="5"/>
      <c r="C68" s="17"/>
      <c r="D68" s="17"/>
      <c r="E68" s="17"/>
      <c r="F68" s="17"/>
      <c r="G68" s="17"/>
      <c r="H68" s="17"/>
      <c r="I68" s="17"/>
    </row>
    <row r="69" spans="1:9" ht="15" thickBot="1">
      <c r="A69" s="183" t="s">
        <v>235</v>
      </c>
      <c r="B69" s="184"/>
      <c r="C69" s="184"/>
      <c r="D69" s="184"/>
      <c r="E69" s="184"/>
      <c r="F69" s="184"/>
      <c r="G69" s="184"/>
      <c r="H69" s="184"/>
      <c r="I69" s="185"/>
    </row>
    <row r="70" spans="1:9" ht="14.25" thickBot="1" thickTop="1">
      <c r="A70" s="194" t="s">
        <v>77</v>
      </c>
      <c r="B70" s="195"/>
      <c r="C70" s="188" t="s">
        <v>200</v>
      </c>
      <c r="D70" s="189"/>
      <c r="E70" s="189"/>
      <c r="F70" s="189"/>
      <c r="G70" s="189"/>
      <c r="H70" s="189"/>
      <c r="I70" s="190"/>
    </row>
    <row r="71" spans="1:12" ht="13.5" thickBot="1">
      <c r="A71" s="181" t="s">
        <v>231</v>
      </c>
      <c r="B71" s="182"/>
      <c r="C71" s="197" t="s">
        <v>236</v>
      </c>
      <c r="D71" s="198"/>
      <c r="E71" s="198"/>
      <c r="F71" s="198"/>
      <c r="G71" s="198"/>
      <c r="H71" s="198"/>
      <c r="I71" s="199"/>
      <c r="L71" s="24"/>
    </row>
    <row r="72" spans="1:12" ht="13.5" thickBot="1">
      <c r="A72" s="181" t="s">
        <v>237</v>
      </c>
      <c r="B72" s="182"/>
      <c r="C72" s="197" t="s">
        <v>238</v>
      </c>
      <c r="D72" s="198"/>
      <c r="E72" s="198"/>
      <c r="F72" s="198"/>
      <c r="G72" s="198"/>
      <c r="H72" s="198"/>
      <c r="I72" s="199"/>
      <c r="L72" s="24"/>
    </row>
    <row r="73" spans="1:10" ht="12.75" customHeight="1" thickBot="1">
      <c r="A73" s="181" t="s">
        <v>78</v>
      </c>
      <c r="B73" s="182"/>
      <c r="C73" s="191" t="s">
        <v>79</v>
      </c>
      <c r="D73" s="192"/>
      <c r="E73" s="192"/>
      <c r="F73" s="192"/>
      <c r="G73" s="192"/>
      <c r="H73" s="192"/>
      <c r="I73" s="193"/>
      <c r="J73" s="24"/>
    </row>
    <row r="74" spans="1:10" ht="13.5" thickBot="1">
      <c r="A74" s="25"/>
      <c r="B74" s="22"/>
      <c r="C74" s="23"/>
      <c r="D74" s="23"/>
      <c r="E74" s="23"/>
      <c r="F74" s="23"/>
      <c r="G74" s="23"/>
      <c r="H74" s="23"/>
      <c r="I74" s="23"/>
      <c r="J74" s="93"/>
    </row>
    <row r="75" spans="1:11" ht="15" thickBot="1">
      <c r="A75" s="183" t="s">
        <v>85</v>
      </c>
      <c r="B75" s="184"/>
      <c r="C75" s="184"/>
      <c r="D75" s="184"/>
      <c r="E75" s="184"/>
      <c r="F75" s="184"/>
      <c r="G75" s="184"/>
      <c r="H75" s="184"/>
      <c r="I75" s="184"/>
      <c r="K75" s="24"/>
    </row>
    <row r="76" spans="1:9" ht="14.25" thickBot="1" thickTop="1">
      <c r="A76" s="178" t="s">
        <v>20</v>
      </c>
      <c r="B76" s="179"/>
      <c r="C76" s="188" t="s">
        <v>232</v>
      </c>
      <c r="D76" s="189"/>
      <c r="E76" s="189"/>
      <c r="F76" s="189"/>
      <c r="G76" s="189"/>
      <c r="H76" s="189"/>
      <c r="I76" s="190"/>
    </row>
    <row r="77" spans="1:9" ht="13.5" thickBot="1">
      <c r="A77" s="196" t="s">
        <v>233</v>
      </c>
      <c r="B77" s="170"/>
      <c r="C77" s="188" t="s">
        <v>232</v>
      </c>
      <c r="D77" s="189"/>
      <c r="E77" s="189"/>
      <c r="F77" s="189"/>
      <c r="G77" s="189"/>
      <c r="H77" s="189"/>
      <c r="I77" s="190"/>
    </row>
    <row r="78" spans="1:9" ht="13.5" thickBot="1">
      <c r="A78" s="181" t="s">
        <v>9</v>
      </c>
      <c r="B78" s="182"/>
      <c r="C78" s="191" t="s">
        <v>234</v>
      </c>
      <c r="D78" s="192"/>
      <c r="E78" s="192"/>
      <c r="F78" s="192"/>
      <c r="G78" s="192"/>
      <c r="H78" s="192"/>
      <c r="I78" s="193"/>
    </row>
    <row r="79" spans="1:10" ht="13.5" thickBot="1">
      <c r="A79" s="186" t="s">
        <v>80</v>
      </c>
      <c r="B79" s="187"/>
      <c r="C79" s="191" t="s">
        <v>81</v>
      </c>
      <c r="D79" s="192"/>
      <c r="E79" s="192"/>
      <c r="F79" s="192"/>
      <c r="G79" s="192"/>
      <c r="H79" s="192"/>
      <c r="I79" s="193"/>
      <c r="J79" s="24"/>
    </row>
  </sheetData>
  <sheetProtection/>
  <mergeCells count="118">
    <mergeCell ref="C65:I65"/>
    <mergeCell ref="C66:I66"/>
    <mergeCell ref="A54:B54"/>
    <mergeCell ref="A64:B64"/>
    <mergeCell ref="C64:I64"/>
    <mergeCell ref="A71:B71"/>
    <mergeCell ref="A7:B7"/>
    <mergeCell ref="A76:B76"/>
    <mergeCell ref="C73:I73"/>
    <mergeCell ref="A63:B63"/>
    <mergeCell ref="C63:I63"/>
    <mergeCell ref="A65:B65"/>
    <mergeCell ref="A66:B66"/>
    <mergeCell ref="A44:I44"/>
    <mergeCell ref="D7:E7"/>
    <mergeCell ref="A57:B57"/>
    <mergeCell ref="C57:I57"/>
    <mergeCell ref="A58:B58"/>
    <mergeCell ref="C58:I58"/>
    <mergeCell ref="C67:I67"/>
    <mergeCell ref="A67:B67"/>
    <mergeCell ref="A70:B70"/>
    <mergeCell ref="C70:I70"/>
    <mergeCell ref="A73:B73"/>
    <mergeCell ref="A69:I69"/>
    <mergeCell ref="C71:I71"/>
    <mergeCell ref="A72:B72"/>
    <mergeCell ref="C72:I72"/>
    <mergeCell ref="A78:B78"/>
    <mergeCell ref="A79:B79"/>
    <mergeCell ref="C76:I76"/>
    <mergeCell ref="C78:I78"/>
    <mergeCell ref="C79:I79"/>
    <mergeCell ref="A75:I75"/>
    <mergeCell ref="A77:B77"/>
    <mergeCell ref="C77:I77"/>
    <mergeCell ref="A55:B55"/>
    <mergeCell ref="A59:B59"/>
    <mergeCell ref="A62:B62"/>
    <mergeCell ref="C54:I54"/>
    <mergeCell ref="C55:I55"/>
    <mergeCell ref="C59:I59"/>
    <mergeCell ref="C62:I62"/>
    <mergeCell ref="A61:I61"/>
    <mergeCell ref="A56:B56"/>
    <mergeCell ref="C56:I56"/>
    <mergeCell ref="G48:I48"/>
    <mergeCell ref="G49:I49"/>
    <mergeCell ref="G50:I50"/>
    <mergeCell ref="A48:B48"/>
    <mergeCell ref="A49:B49"/>
    <mergeCell ref="A50:B50"/>
    <mergeCell ref="C48:E48"/>
    <mergeCell ref="C49:E49"/>
    <mergeCell ref="C50:E50"/>
    <mergeCell ref="G51:I51"/>
    <mergeCell ref="G52:I52"/>
    <mergeCell ref="A51:B51"/>
    <mergeCell ref="A52:B52"/>
    <mergeCell ref="A53:B53"/>
    <mergeCell ref="C51:E51"/>
    <mergeCell ref="C52:E52"/>
    <mergeCell ref="C53:I53"/>
    <mergeCell ref="E35:E36"/>
    <mergeCell ref="D35:D36"/>
    <mergeCell ref="G34:H34"/>
    <mergeCell ref="G35:H35"/>
    <mergeCell ref="G36:H36"/>
    <mergeCell ref="A43:I43"/>
    <mergeCell ref="D10:E10"/>
    <mergeCell ref="A47:I47"/>
    <mergeCell ref="A46:I46"/>
    <mergeCell ref="A38:I39"/>
    <mergeCell ref="A40:I40"/>
    <mergeCell ref="A41:I41"/>
    <mergeCell ref="A42:I42"/>
    <mergeCell ref="A45:I45"/>
    <mergeCell ref="A23:C23"/>
    <mergeCell ref="A30:C30"/>
    <mergeCell ref="A16:C16"/>
    <mergeCell ref="A17:C17"/>
    <mergeCell ref="A18:C18"/>
    <mergeCell ref="A20:C20"/>
    <mergeCell ref="G33:I33"/>
    <mergeCell ref="D28:E28"/>
    <mergeCell ref="A28:C28"/>
    <mergeCell ref="A29:C29"/>
    <mergeCell ref="G30:I30"/>
    <mergeCell ref="G6:H6"/>
    <mergeCell ref="A37:C37"/>
    <mergeCell ref="A5:B5"/>
    <mergeCell ref="A31:C31"/>
    <mergeCell ref="A35:C36"/>
    <mergeCell ref="A32:C32"/>
    <mergeCell ref="A33:C33"/>
    <mergeCell ref="A34:C34"/>
    <mergeCell ref="A14:C14"/>
    <mergeCell ref="A15:C15"/>
    <mergeCell ref="A9:E9"/>
    <mergeCell ref="A21:C21"/>
    <mergeCell ref="A22:C22"/>
    <mergeCell ref="A19:C19"/>
    <mergeCell ref="A1:E2"/>
    <mergeCell ref="A10:C10"/>
    <mergeCell ref="A11:C11"/>
    <mergeCell ref="A12:C12"/>
    <mergeCell ref="A13:C13"/>
    <mergeCell ref="A6:B6"/>
    <mergeCell ref="M10:O10"/>
    <mergeCell ref="G9:I9"/>
    <mergeCell ref="H10:I10"/>
    <mergeCell ref="E24:E25"/>
    <mergeCell ref="I24:I25"/>
    <mergeCell ref="A27:E27"/>
    <mergeCell ref="G24:G25"/>
    <mergeCell ref="H24:H25"/>
    <mergeCell ref="A24:C25"/>
    <mergeCell ref="D24:D25"/>
  </mergeCells>
  <dataValidations count="5">
    <dataValidation type="list" allowBlank="1" showInputMessage="1" showErrorMessage="1" sqref="G2 I2 I6 C5:C7">
      <formula1>"有,無"</formula1>
    </dataValidation>
    <dataValidation type="list" allowBlank="1" showInputMessage="1" showErrorMessage="1" sqref="F3 H1">
      <formula1>"1,2,3,4,5,6,7,8,9,10,11,12"</formula1>
    </dataValidation>
    <dataValidation type="list" allowBlank="1" showInputMessage="1" showErrorMessage="1" sqref="G1">
      <formula1>"2016,2017,2018,2019,2020"</formula1>
    </dataValidation>
    <dataValidation type="list" allowBlank="1" showInputMessage="1" showErrorMessage="1" sqref="E3">
      <formula1>$R$1:$R$35</formula1>
    </dataValidation>
    <dataValidation type="list" allowBlank="1" showInputMessage="1" showErrorMessage="1" sqref="H4">
      <formula1>$S$1:$S$35</formula1>
    </dataValidation>
  </dataValidations>
  <printOptions/>
  <pageMargins left="0.7" right="0.7" top="0.75" bottom="0.75" header="0.3" footer="0.3"/>
  <pageSetup horizontalDpi="600" verticalDpi="6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2016-12-04T15:57:23Z</dcterms:modified>
  <cp:category/>
  <cp:version/>
  <cp:contentType/>
  <cp:contentStatus/>
</cp:coreProperties>
</file>